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/>
  <mc:AlternateContent xmlns:mc="http://schemas.openxmlformats.org/markup-compatibility/2006">
    <mc:Choice Requires="x15">
      <x15ac:absPath xmlns:x15ac="http://schemas.microsoft.com/office/spreadsheetml/2010/11/ac" url="https://undp.sharepoint.com/sites/OCR-CO/Docs_OCR/MPTF Fondo Post conflicto/06. Comunicaciones/02. Informes Anuales/02.10 2024/INFORME/"/>
    </mc:Choice>
  </mc:AlternateContent>
  <xr:revisionPtr revIDLastSave="0" documentId="8_{9591EBEC-9D17-4764-9F37-A328AEEB4E55}" xr6:coauthVersionLast="47" xr6:coauthVersionMax="47" xr10:uidLastSave="{00000000-0000-0000-0000-000000000000}"/>
  <bookViews>
    <workbookView xWindow="28680" yWindow="-120" windowWidth="29040" windowHeight="15720" xr2:uid="{C78DD1AE-8B75-4863-92D0-51F0DA0B9492}"/>
  </bookViews>
  <sheets>
    <sheet name="Reporte 2024" sheetId="1" r:id="rId1"/>
  </sheets>
  <definedNames>
    <definedName name="_ftn1" localSheetId="0">'Reporte 2024'!#REF!</definedName>
    <definedName name="_ftn10" localSheetId="0">'Reporte 2024'!#REF!</definedName>
    <definedName name="_ftn11" localSheetId="0">'Reporte 2024'!#REF!</definedName>
    <definedName name="_ftn2" localSheetId="0">'Reporte 2024'!#REF!</definedName>
    <definedName name="_ftn3" localSheetId="0">'Reporte 2024'!#REF!</definedName>
    <definedName name="_ftn4" localSheetId="0">'Reporte 2024'!#REF!</definedName>
    <definedName name="_ftn5" localSheetId="0">'Reporte 2024'!#REF!</definedName>
    <definedName name="_ftn6" localSheetId="0">'Reporte 2024'!#REF!</definedName>
    <definedName name="_ftn7" localSheetId="0">'Reporte 2024'!#REF!</definedName>
    <definedName name="_ftn8" localSheetId="0">'Reporte 2024'!#REF!</definedName>
    <definedName name="_ftn9" localSheetId="0">'Reporte 2024'!#REF!</definedName>
    <definedName name="_ftnref1" localSheetId="0">'Reporte 2024'!#REF!</definedName>
    <definedName name="_ftnref10" localSheetId="0">'Reporte 2024'!#REF!</definedName>
    <definedName name="_ftnref11" localSheetId="0">'Reporte 2024'!#REF!</definedName>
    <definedName name="_ftnref2" localSheetId="0">'Reporte 2024'!#REF!</definedName>
    <definedName name="_ftnref3" localSheetId="0">'Reporte 2024'!#REF!</definedName>
    <definedName name="_ftnref4" localSheetId="0">'Reporte 2024'!#REF!</definedName>
    <definedName name="_ftnref5" localSheetId="0">'Reporte 2024'!#REF!</definedName>
    <definedName name="_ftnref6" localSheetId="0">'Reporte 2024'!#REF!</definedName>
    <definedName name="_ftnref7" localSheetId="0">'Reporte 2024'!#REF!</definedName>
    <definedName name="_ftnref8" localSheetId="0">'Reporte 2024'!#REF!</definedName>
    <definedName name="_ftnref9" localSheetId="0">'Reporte 2024'!#REF!</definedName>
    <definedName name="_xlnm.Print_Area" localSheetId="0">'Reporte 2024'!$B$1:$B$140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D118" i="1" l="1"/>
  <c r="I136" i="1"/>
  <c r="I134" i="1"/>
  <c r="D133" i="1"/>
  <c r="I123" i="1"/>
  <c r="D123" i="1"/>
  <c r="I120" i="1"/>
  <c r="D120" i="1"/>
  <c r="I119" i="1"/>
  <c r="D119" i="1"/>
  <c r="I115" i="1"/>
  <c r="D115" i="1"/>
  <c r="I104" i="1"/>
  <c r="I103" i="1"/>
  <c r="I102" i="1"/>
  <c r="I93" i="1"/>
  <c r="I92" i="1"/>
  <c r="I90" i="1"/>
  <c r="D90" i="1"/>
  <c r="I87" i="1"/>
  <c r="I83" i="1"/>
  <c r="L62" i="1"/>
  <c r="I62" i="1"/>
  <c r="D62" i="1"/>
  <c r="I61" i="1"/>
  <c r="D61" i="1"/>
  <c r="I60" i="1"/>
  <c r="D60" i="1"/>
  <c r="I59" i="1"/>
  <c r="D59" i="1"/>
  <c r="I57" i="1"/>
  <c r="I52" i="1"/>
  <c r="I51" i="1"/>
  <c r="I50" i="1"/>
  <c r="I49" i="1"/>
  <c r="I43" i="1"/>
  <c r="D43" i="1"/>
  <c r="I38" i="1"/>
  <c r="D38" i="1"/>
  <c r="I37" i="1"/>
  <c r="D37" i="1"/>
  <c r="D28" i="1"/>
  <c r="I24" i="1"/>
  <c r="D24" i="1"/>
  <c r="D22" i="1"/>
  <c r="I21" i="1"/>
  <c r="D21" i="1"/>
  <c r="I20" i="1"/>
  <c r="I19" i="1"/>
  <c r="D19" i="1"/>
  <c r="I18" i="1"/>
  <c r="D18" i="1"/>
  <c r="D17" i="1"/>
  <c r="I16" i="1"/>
  <c r="D16" i="1"/>
</calcChain>
</file>

<file path=xl/sharedStrings.xml><?xml version="1.0" encoding="utf-8"?>
<sst xmlns="http://schemas.openxmlformats.org/spreadsheetml/2006/main" count="485" uniqueCount="290">
  <si>
    <t>MARCO DE RESULTADOS FONDO FASE II  y FASE III (Indicadores Fase 3 en azul)</t>
  </si>
  <si>
    <t>RESULTADOS E INDICADORES DEL FONDO</t>
  </si>
  <si>
    <t xml:space="preserve">Proyecto </t>
  </si>
  <si>
    <t>RESULTADOS  2024</t>
  </si>
  <si>
    <t>Fuente</t>
  </si>
  <si>
    <t xml:space="preserve">Fecha </t>
  </si>
  <si>
    <t>Comentarios</t>
  </si>
  <si>
    <t>RESULTADOS ACUMULADOS (2019 - 2024)</t>
  </si>
  <si>
    <t>ÁMBITO 1: ESTABILIZACIÓN</t>
  </si>
  <si>
    <r>
      <rPr>
        <b/>
        <sz val="11"/>
        <color theme="1"/>
        <rFont val="Aptos Narrow"/>
        <family val="2"/>
        <scheme val="minor"/>
      </rPr>
      <t xml:space="preserve">1.1 </t>
    </r>
    <r>
      <rPr>
        <sz val="11"/>
        <color theme="1"/>
        <rFont val="Aptos Narrow"/>
        <family val="2"/>
        <scheme val="minor"/>
      </rPr>
      <t>Percepción de las comunidades intervenidas frente a la estrategia de estabilización. En particular rehabilitación económica, seguridad, acceso a la justicia, fortalecimiento institucional local y manejo de conflictividades.</t>
    </r>
  </si>
  <si>
    <t>MAPS 2023 /2024</t>
  </si>
  <si>
    <t>La satisfacción respecto a la implementacion del AF pasa de 35,9% 48% (2021); en 2019 a 58,2 % en 2023-2024 (Montes de María la región más satisfecha, Catatumbo la región más insatisfecha)</t>
  </si>
  <si>
    <t>Proyecto MAPS (UNDP, PRIO, ANDES)</t>
  </si>
  <si>
    <t xml:space="preserve">
Proyecto MAPS (PNUD, PRIO, U Andes)</t>
  </si>
  <si>
    <t xml:space="preserve">
1. Expectativas futuras frente a la transfromación de los Territorios a través de los PDET 27% (2019) 59% (2021); 23%(2024)
2. La satisfacción respecto a la implementacion del AF pasa de 35,9% en 2019 a 58,2 % en 2023-2024 (Montes de María la región más satisfecha, Catatumbo la región más insatisfecha, junto con Cuenca del Caguán, Macarena - Guaviare y Pacífico y Frontera Nariñense)
3. aumento en la percepción de llegada de obras y bienes a los territorios: 2019:35%, 2021:27%; 2024:40%. Sur de Bolívar la región más satisfecha (56.8%), Catatumbo la más insatisfecha (13.9%).
3. Implementación insuficiente del PNIS 85%.
4. Deterioro en la situación económica, prioridades en las zonas PDET: Salúd 51,9%, Educación 29,5%, vías 14,1%.
5. Aumento en las personas que consideran que el conflicto puede regresar 38,5%
6. 36,7% percibe aumento en bienes para el año 2023 vs 30,9% para el año 2021 y 36,3% en el año 2019.
7. Disminuye la percepción negativa de la no presencia del Estado en territorio 75,7% (2019); 71,2% (2024) Pacifico y Frontera nariñense (87,5%), Catatumbo (88%) y Pacífico Medio (79,2%) los más negativos. 
8. Inversión prioritaria en salud 53,4 (2019); 50,0 (2021); 40,8 (2023); Educación 32,7 (2019); 31,3 (2021); 19,9 (2023); proyectos productivos 16,3% 2023; vías 8,6% (201); 14,5 (2021); 9,9% (2023)
8. Confía en los excombatientes si han pasado por un proceso de reintegración 45,9 (2019); 43,0 (2021); 52,6 (2023).
9. Aumenta la victimización en el territorio 57,6% (2021); 61,6% (2023); 25,3% (2024) Sur de Bolivar, Pacífico Medio, Urabá Antioqueño, Catatumbo los más afectados. 
</t>
  </si>
  <si>
    <t>Pryecto MAPS (UNDP, PRIO, ANDES)</t>
  </si>
  <si>
    <t xml:space="preserve">Se incluyen algunos de los resultados más representativos. No se incluyen todos los valores de respuesta, sólo los más puntuados. </t>
  </si>
  <si>
    <t>60,4% de los colombianos considera que no se logrará una salida negociada entre el ELN y el Gobierno Nacional. Zonas PDET 82,1% Vs. ciudades principales 52,5%. Subregiones PDET con mayor aceptación a salida negociada: Arauca, Catatumbo y Chocó
Subregiones PDET con menor aceptación a salida negociada: Sierra Nevada, Sur de Tolima y Pacífico Medio</t>
  </si>
  <si>
    <t xml:space="preserve">En todas las subregiones menos del 13% de la población se siente representada por los congresistas CITREP. Sur de Bolivar, Sur de Córdoba y Montes de María donde más se sientes representados, Chocó y Pacífico y Frontera Nariñense menos representados. </t>
  </si>
  <si>
    <t xml:space="preserve">Aumenta percepción de construcción de bienes comunitarios. Pasa del 27,8% en el año 2021, al 40.0% en el 2023. Sur de Bolívar la región más satisfecha (56.8%), Catatumbo la más insatisfecha (13.9%). Disminuyó la percepción ciudadana sobre la transformación del territorio por parte de los PDET. Pasó del 59% en el 2021 al 53% en el 2023. Las subregiones que tienen mayor expectativa de transformación son Sur de Bolívar y Sur de Córdoba. Y las subregiones donde son más pesimistas  son Macarena-Guaviare, Catatumbo, Chocó y Sur de Tolima. </t>
  </si>
  <si>
    <t xml:space="preserve">El 35,9%, considera que el nivel nacional es el responsable de la implementación del Acuerdo de Paz. Se mantiene la preferencia de los ciudadanos por la inversión prioritaria en salud y educación, y en 2023 con el tema de proyectos productivos. 40,8% salud, 19,9% educación y proyectos productivos 16,3 %. </t>
  </si>
  <si>
    <t>36,7% percibe aumento en bienes para el año 2023 vs 30,9% para el año 2021 y 36,3% en el año 2019. Las mujeres perciben un menor aumento en la provisión de bienes comunitarios. El porcentaje de mujeres es de 34% comparado con 36.5% para los hombres. Esta diferencia en la percepción se mantiene a nivel de las subregiones, donde las mujeres perciben una menor construcción en la mayoría de los casos</t>
  </si>
  <si>
    <t>Las mujeres perciben un menor aumento en la provisión de bienes comunitarios. El porcentaje de mujeres es de 34% comparado con 36.5% para los hombres. Esta diferencia en la percepción se mantiene a nivel de las subregiones, donde las mujeres perciben una menor construcción en la mayoría de los casos</t>
  </si>
  <si>
    <t xml:space="preserve">Aproximadamente sólo 1 de cada 4 personas estaría cómodo en tener a un antiguo miembro de un grupo armado como vecino. Crece la percepción de que excombatientes deben pasar por procesos de reintegración. Pasa del 90,9% en 2019 al 94,1% en el 2023.  Crece la percepción de que excombatientes deben pasar por procesos de reintegración.
Pasa del 90,9% en 2019 al 94,1% en el 2023.  </t>
  </si>
  <si>
    <t>El 35,5% respondieron que se incrementaron los proyectos sociales, pero solo en beneficio de los excombatientes, el 28,7% dijo que no hubo ningún impacto y el 14% afirmó que se incrementaron los proyectos sociales para los excombatientes y las comunidades. Al comparar los municipios PDET que tienen AETCR con aquellos que no, se observa una diferencia de casi 10 pp. Esta tasa es mayor en Sierra Nevada y Perijá (incremento 50,4% -   no hubo impacto 42,3%); Urabá Antioqueño (49,0% - 28,7%); Arauca (49,7%-17,6%) y Sur de Tolima (49,5%-17,4%) .</t>
  </si>
  <si>
    <t xml:space="preserve">Disminuye la percepción negativa de la no presencia del Estado en territorio 75,7% (2019); 71,2% (2024) Pacifico y Frontera nariñense (87,5%), Catatumbo (88%) y Pacífico Medio (79,2%) los más negativos. </t>
  </si>
  <si>
    <t>Resultado 1.1: Apoyar procesos de trasformación, reactivación económica y reconversión productiva de los territorios PDET PNIS y geografías de Paz, a través de intervenciones integrales que apunten a cerrar brechas socioeconómicas, incluidas las de seguridad alimentaria, y promuevan y protejan la diversidad cultural y la biodiversidad.</t>
  </si>
  <si>
    <t xml:space="preserve">Indicadores del Fondo: </t>
  </si>
  <si>
    <r>
      <rPr>
        <b/>
        <sz val="11"/>
        <color theme="1"/>
        <rFont val="Aptos Narrow"/>
        <family val="2"/>
        <scheme val="minor"/>
      </rPr>
      <t>1.1.1</t>
    </r>
    <r>
      <rPr>
        <sz val="11"/>
        <color theme="1"/>
        <rFont val="Aptos Narrow"/>
        <family val="2"/>
        <scheme val="minor"/>
      </rPr>
      <t xml:space="preserve"> Número de circuitos de comercialización fortalecidos en municipios PDET a través de los proyectos financiados por el MPTF</t>
    </r>
  </si>
  <si>
    <t>3 (Cacao Catatumbo); 2 (PNIS Comercialización)</t>
  </si>
  <si>
    <t xml:space="preserve">Informe final </t>
  </si>
  <si>
    <r>
      <t xml:space="preserve">7 (plan de contingencia); </t>
    </r>
    <r>
      <rPr>
        <sz val="11"/>
        <color theme="4"/>
        <rFont val="Aptos Narrow"/>
        <family val="2"/>
        <scheme val="minor"/>
      </rPr>
      <t>18 (Entornos de paz y reconciliación); 12 (Integración</t>
    </r>
    <r>
      <rPr>
        <sz val="11"/>
        <color theme="1"/>
        <rFont val="Aptos Narrow"/>
        <family val="2"/>
        <scheme val="minor"/>
      </rPr>
      <t xml:space="preserve"> Socioeconómica); 5 (Blended); 3 (Estabilización Territorial); 4 (Negocios inclusivos PNIS); 3 (Cacao Catatumbo); 2 (PNIS Comercialización)</t>
    </r>
  </si>
  <si>
    <r>
      <rPr>
        <b/>
        <sz val="11"/>
        <color theme="1"/>
        <rFont val="Aptos Narrow"/>
        <family val="2"/>
        <scheme val="minor"/>
      </rPr>
      <t>1.1.2</t>
    </r>
    <r>
      <rPr>
        <sz val="11"/>
        <color theme="1"/>
        <rFont val="Aptos Narrow"/>
        <family val="2"/>
        <scheme val="minor"/>
      </rPr>
      <t xml:space="preserve"> Número de alianzas productivas y acuerdos comerciales implementados en municipios PDET a través de los proyectos financiados por el MPTF</t>
    </r>
  </si>
  <si>
    <t>2 (Sostenibilidad Reincorporación); 2 (Cacao Catatumbo); 56 (Naturaleza para la paz); 2 (convocatoria Blended 2); 6 (PNIS Comercialización)</t>
  </si>
  <si>
    <r>
      <rPr>
        <sz val="11"/>
        <color theme="4"/>
        <rFont val="Aptos Narrow"/>
        <family val="2"/>
        <scheme val="minor"/>
      </rPr>
      <t>17 (Entornos productivos)</t>
    </r>
    <r>
      <rPr>
        <sz val="11"/>
        <color theme="1"/>
        <rFont val="Aptos Narrow"/>
        <family val="2"/>
        <scheme val="minor"/>
      </rPr>
      <t>; 5 (Blended); 26</t>
    </r>
    <r>
      <rPr>
        <sz val="11"/>
        <color theme="4"/>
        <rFont val="Aptos Narrow"/>
        <family val="2"/>
        <scheme val="minor"/>
      </rPr>
      <t xml:space="preserve"> (Entornos de paz y reconciliación); 14 (Integración Socioeconómica)</t>
    </r>
    <r>
      <rPr>
        <sz val="11"/>
        <color theme="1"/>
        <rFont val="Aptos Narrow"/>
        <family val="2"/>
        <scheme val="minor"/>
      </rPr>
      <t xml:space="preserve">; </t>
    </r>
    <r>
      <rPr>
        <sz val="11"/>
        <rFont val="Aptos Narrow"/>
        <family val="2"/>
        <scheme val="minor"/>
      </rPr>
      <t>174</t>
    </r>
    <r>
      <rPr>
        <sz val="11"/>
        <color theme="4"/>
        <rFont val="Aptos Narrow"/>
        <family val="2"/>
        <scheme val="minor"/>
      </rPr>
      <t xml:space="preserve"> (Entornos de paz y reconciliación)</t>
    </r>
    <r>
      <rPr>
        <sz val="11"/>
        <color theme="1"/>
        <rFont val="Aptos Narrow"/>
        <family val="2"/>
        <scheme val="minor"/>
      </rPr>
      <t>; 4 (Apoyo URT); 1 (Chocó Socioeconómico); 6 (Negocios Inclusivos PNIS); 19 (Entornos de paz y reconciliación); 28 (Sostenibilidad reincorporación); 6 (PNIS Comercialización)</t>
    </r>
  </si>
  <si>
    <r>
      <rPr>
        <b/>
        <sz val="11"/>
        <color theme="1"/>
        <rFont val="Aptos Narrow"/>
        <family val="2"/>
        <scheme val="minor"/>
      </rPr>
      <t>1.1.3</t>
    </r>
    <r>
      <rPr>
        <sz val="11"/>
        <color theme="1"/>
        <rFont val="Aptos Narrow"/>
        <family val="2"/>
        <scheme val="minor"/>
      </rPr>
      <t xml:space="preserve"> Número de organizaciones solidarias fortalecidas en capacidades productivas y administrativas en municipios PDET a través de los proyectos financiados por el MPTF.</t>
    </r>
  </si>
  <si>
    <t>9 (Cacao Catatumbo); 3 (convocatoria Blended 2); 2 (PNIS Comercialización)</t>
  </si>
  <si>
    <r>
      <t xml:space="preserve">12 (Plan de Contingencia); 28 (Confianza y Paz); 72 (MOP II); 2 (Salud para la paz 2); </t>
    </r>
    <r>
      <rPr>
        <sz val="11"/>
        <color theme="4"/>
        <rFont val="Aptos Narrow"/>
        <family val="2"/>
        <scheme val="minor"/>
      </rPr>
      <t>26 (Entornos Productivos); 9 (Integración Socioeonómica); 35 (Entornos de paz y reconcilición)</t>
    </r>
    <r>
      <rPr>
        <sz val="11"/>
        <color theme="1"/>
        <rFont val="Aptos Narrow"/>
        <family val="2"/>
        <scheme val="minor"/>
      </rPr>
      <t xml:space="preserve">; 24 (Estabilización Territorial); 22 (Blended); </t>
    </r>
    <r>
      <rPr>
        <sz val="11"/>
        <color theme="4"/>
        <rFont val="Aptos Narrow"/>
        <family val="2"/>
        <scheme val="minor"/>
      </rPr>
      <t>2 (Reparaciones y Retornos); 20 (Reconciliación Chocó); 13 (Socio económico Chocó); 44 (Justicia local)</t>
    </r>
    <r>
      <rPr>
        <sz val="11"/>
        <color theme="1"/>
        <rFont val="Aptos Narrow"/>
        <family val="2"/>
        <scheme val="minor"/>
      </rPr>
      <t>; 4 Negocios Inlusivos; 10 (Apoyo URT); 50 (Proyecto Defensores); 5 (reconciliación Chocó); 9 (Reconciliación Chocó); 1 (Chocó Socioeconómico); 7 (negocios Inclusivos PNIS); 376 (Voces desde los territorios); 6 (PNIS Comercialización); 5 (Naturaleza para la Paz); 11 (Cacao Integrador); 3(POT Catatumbo); 3(Cacao Catatumbo); 2 (PNIS Comercialización)</t>
    </r>
  </si>
  <si>
    <r>
      <rPr>
        <b/>
        <sz val="11"/>
        <color theme="1"/>
        <rFont val="Aptos Narrow"/>
        <family val="2"/>
        <scheme val="minor"/>
      </rPr>
      <t>1.1.3</t>
    </r>
    <r>
      <rPr>
        <sz val="11"/>
        <color theme="1"/>
        <rFont val="Aptos Narrow"/>
        <family val="2"/>
        <scheme val="minor"/>
      </rPr>
      <t xml:space="preserve"> Número de organizaciones solidarias creadas, apoyadas o fortalecidas que provean información y logística, administren los </t>
    </r>
    <r>
      <rPr>
        <b/>
        <sz val="11"/>
        <color theme="1"/>
        <rFont val="Aptos Narrow"/>
        <family val="2"/>
        <scheme val="minor"/>
      </rPr>
      <t xml:space="preserve">centros de acopio </t>
    </r>
    <r>
      <rPr>
        <sz val="11"/>
        <color theme="1"/>
        <rFont val="Aptos Narrow"/>
        <family val="2"/>
        <scheme val="minor"/>
      </rPr>
      <t>y promocionen los productos del campo.</t>
    </r>
  </si>
  <si>
    <t>2 (PNIS Comercialización); 1 (Cacao Catatumbo); 2 (Chocolate colombia y corpocambo)</t>
  </si>
  <si>
    <r>
      <rPr>
        <b/>
        <sz val="11"/>
        <color theme="1"/>
        <rFont val="Aptos Narrow"/>
        <family val="2"/>
        <scheme val="minor"/>
      </rPr>
      <t>1.1.4</t>
    </r>
    <r>
      <rPr>
        <sz val="11"/>
        <color theme="1"/>
        <rFont val="Aptos Narrow"/>
        <family val="2"/>
        <scheme val="minor"/>
      </rPr>
      <t xml:space="preserve"> Número de Obras de infraestructura comunitaria realizadas en municipios PDET a través de los proyectos financiados por el MPTF</t>
    </r>
  </si>
  <si>
    <t>6 (Cacao Catatumbo)</t>
  </si>
  <si>
    <r>
      <rPr>
        <sz val="11"/>
        <rFont val="Aptos Narrow"/>
        <family val="2"/>
        <scheme val="minor"/>
      </rPr>
      <t>22 (Plan de Contingencia);</t>
    </r>
    <r>
      <rPr>
        <sz val="11"/>
        <color theme="4"/>
        <rFont val="Aptos Narrow"/>
        <family val="2"/>
        <scheme val="minor"/>
      </rPr>
      <t xml:space="preserve"> 5 (Integración Socioeconómica);</t>
    </r>
    <r>
      <rPr>
        <sz val="11"/>
        <color theme="1"/>
        <rFont val="Aptos Narrow"/>
        <family val="2"/>
        <scheme val="minor"/>
      </rPr>
      <t xml:space="preserve"> 21 (Estabilización Territorial); 203 (MOP II); 34 (MOP I); 17 (Confianza y Paz) 7 (Reconciliación Chocó); 18 (Socio económico Chocó); 10 (Socioeconómico Chocó); 7 (Reconciliación Chocó); 17(Cacao Catatumbo)</t>
    </r>
  </si>
  <si>
    <r>
      <rPr>
        <b/>
        <sz val="11"/>
        <color theme="1"/>
        <rFont val="Aptos Narrow"/>
        <family val="2"/>
        <scheme val="minor"/>
      </rPr>
      <t>1.1.4</t>
    </r>
    <r>
      <rPr>
        <sz val="11"/>
        <color theme="1"/>
        <rFont val="Aptos Narrow"/>
        <family val="2"/>
        <scheme val="minor"/>
      </rPr>
      <t xml:space="preserve"> Número de proyectos productivos identificados y estructurados apoyados en alianza entre la cooperación y el sector privado.</t>
    </r>
  </si>
  <si>
    <t>2 (Cacao Catatumbo); 6 (Blended Finance 1; ACUMEN 2/ ASPRODEMA, ASOPROCACOC, Wegrou (50 amigas ACEC), CorpoCampo
Supracafe (AMUCC), Choco Col (Fairtrade OK))</t>
  </si>
  <si>
    <r>
      <rPr>
        <b/>
        <sz val="11"/>
        <color theme="1"/>
        <rFont val="Aptos Narrow"/>
        <family val="2"/>
        <scheme val="minor"/>
      </rPr>
      <t>1.1.5</t>
    </r>
    <r>
      <rPr>
        <sz val="11"/>
        <color theme="1"/>
        <rFont val="Aptos Narrow"/>
        <family val="2"/>
        <scheme val="minor"/>
      </rPr>
      <t xml:space="preserve"> Número de PDET apoyados en su ejecución y seguimiento con las comunidades y las autoridades étnicos- territoriales, a través de los proyectos financiados por el MPTF </t>
    </r>
  </si>
  <si>
    <t>2 (cacao catatumbo) en total 25 inciativas PDET apoyadas en su implementación; 10 (Naturaleza para la paz)</t>
  </si>
  <si>
    <t>Territrorialización ERR, Confianza y Paz y Capacidades PDET; 20 iniciativas PDET apoyadas (Reconciliación Chocó); 12,357 inciciativas incluidas en los planes de desarrollo territorial (Capacidades PDET), 18 inciativas PDET apoyadas en su implementación (Reparaciones y Retornos); 32 (Estabilización Territorial); 21 (Convocatoria Reconciliación); 8 (Reconciliación Chocó)
14 (Naturaleza para la paz); 23 (Cacao Catatumbo); 340 (POT Catatumbo)</t>
  </si>
  <si>
    <t>170 y 12,813 iniciativas PDET apoyadas en su implementación</t>
  </si>
  <si>
    <t xml:space="preserve">Los 170 municipios PDET fueron apoyados en la implementación y seguimiento a las inciativas PDET, Alcaldías y grupos motor fortalecidos. Se logró la inclusión de 12,357 iniciativas PDET en los Planes de Desarrollo Territorial </t>
  </si>
  <si>
    <r>
      <rPr>
        <b/>
        <sz val="11"/>
        <color theme="1"/>
        <rFont val="Aptos Narrow"/>
        <family val="2"/>
        <scheme val="minor"/>
      </rPr>
      <t>1.1.6</t>
    </r>
    <r>
      <rPr>
        <sz val="11"/>
        <color theme="1"/>
        <rFont val="Aptos Narrow"/>
        <family val="2"/>
        <scheme val="minor"/>
      </rPr>
      <t xml:space="preserve"> Número de PATR apoyados en su ejecución y seguimiento con las comunidades y las autoridades étnicos- territoriales, a través de los proyectos financiados por el MPTF </t>
    </r>
  </si>
  <si>
    <t>1 (Proyectos Integrales Catatumbo)</t>
  </si>
  <si>
    <t>Territrorialización ERR, Confianza y Paz y Capacidades PDET; (Reconciliación Chocó y Socioeconómico) 1 PATR; 2 PDETE; 1 (POT Catatumbo)</t>
  </si>
  <si>
    <t>Reporte Trimestral</t>
  </si>
  <si>
    <t>128 planes de trabajo formulados en las 16 subregiones PDET</t>
  </si>
  <si>
    <r>
      <rPr>
        <b/>
        <sz val="11"/>
        <color theme="1"/>
        <rFont val="Aptos Narrow"/>
        <family val="2"/>
        <scheme val="minor"/>
      </rPr>
      <t>1.1.6</t>
    </r>
    <r>
      <rPr>
        <sz val="11"/>
        <color theme="1"/>
        <rFont val="Aptos Narrow"/>
        <family val="2"/>
        <scheme val="minor"/>
      </rPr>
      <t xml:space="preserve"> Número de iniciativas PDET apoyadas en su ejecución y seguimiento con las comunidades y las autoridades étnico-territoriales, a través de los proyectos financiados por el MPTF.</t>
    </r>
  </si>
  <si>
    <t>304 (POT Catatumbo); 25 (Cacao Catatumbo)</t>
  </si>
  <si>
    <t>Informe Anual</t>
  </si>
  <si>
    <r>
      <rPr>
        <b/>
        <sz val="11"/>
        <color theme="1"/>
        <rFont val="Aptos Narrow"/>
        <family val="2"/>
        <scheme val="minor"/>
      </rPr>
      <t>1.1.7</t>
    </r>
    <r>
      <rPr>
        <sz val="11"/>
        <color theme="1"/>
        <rFont val="Aptos Narrow"/>
        <family val="2"/>
        <scheme val="minor"/>
      </rPr>
      <t xml:space="preserve"> Número de proyectos productivos desarrollados por familias vinculadas al PNIS con acuerdo de sustitución cumplido, apoyados por proyectos financiados por el MPTF </t>
    </r>
  </si>
  <si>
    <t>Plan de Contingencia; Negocios Inclusivos (198 negocios colectivos)</t>
  </si>
  <si>
    <t>1970 proyectos individuales, 19 organizaciones fortalecidas, 198 negocios colectivos</t>
  </si>
  <si>
    <t xml:space="preserve">Informe Final </t>
  </si>
  <si>
    <r>
      <rPr>
        <b/>
        <sz val="11"/>
        <color theme="1"/>
        <rFont val="Aptos Narrow"/>
        <family val="2"/>
        <scheme val="minor"/>
      </rPr>
      <t>1.1.8</t>
    </r>
    <r>
      <rPr>
        <sz val="11"/>
        <color theme="1"/>
        <rFont val="Aptos Narrow"/>
        <family val="2"/>
        <scheme val="minor"/>
      </rPr>
      <t xml:space="preserve"> Número de líneas estratégicas del PNIS apoyadas a través de proyectos del MPTF</t>
    </r>
  </si>
  <si>
    <t>1 (Plan de Contingencia); 1 (Negocios Inclusivos)</t>
  </si>
  <si>
    <t>2 (Recursos para seguridad alimentaria y cultivos de ciclo corto, Atención inmediata y desarrollo de proyectos productivos)</t>
  </si>
  <si>
    <t>Informe Anual 2019</t>
  </si>
  <si>
    <r>
      <rPr>
        <b/>
        <sz val="11"/>
        <color theme="1"/>
        <rFont val="Aptos Narrow"/>
        <family val="2"/>
        <scheme val="minor"/>
      </rPr>
      <t>1.1.10</t>
    </r>
    <r>
      <rPr>
        <sz val="11"/>
        <color theme="1"/>
        <rFont val="Aptos Narrow"/>
        <family val="2"/>
        <scheme val="minor"/>
      </rPr>
      <t xml:space="preserve"> Número de esquemas con prácticas agroecológicas para la producción de alimentos para el autoconsumo implementados en municipios PDET apoyados por el MPFT.</t>
    </r>
  </si>
  <si>
    <t>1 (Cacao Catatumbo)</t>
  </si>
  <si>
    <r>
      <rPr>
        <b/>
        <sz val="11"/>
        <color theme="1"/>
        <rFont val="Aptos Narrow"/>
        <family val="2"/>
        <scheme val="minor"/>
      </rPr>
      <t>1.1.11</t>
    </r>
    <r>
      <rPr>
        <sz val="11"/>
        <color theme="1"/>
        <rFont val="Aptos Narrow"/>
        <family val="2"/>
        <scheme val="minor"/>
      </rPr>
      <t xml:space="preserve"> Número de proyectos productivos de grupos étnicos fortalecidos mediante asistencia técnica para la comercialización en municipios PDET apoyados por el MPFT.</t>
    </r>
  </si>
  <si>
    <t>1 (Cacao Catatumbo, Barí); 2 (Convocatoria Blended Finance 1, Resguardo Indigena Inga Villa Catalina para compra cosecha acaí y ASPRODEMA/COCOMACIA); 5 (Naturaleza para la paz: 1. Awá - Asminawa; 2. RI Vegas, Camawari - RI Palmar Imbi, Semillas de Pazricaurte - RI Alto Cartagena, 3. Unipa - RI Guelmambi El Bombo; Jóvenes y Mujeres El Tiempo de Crear)</t>
  </si>
  <si>
    <t>1 (Cacao Catatumbo, Barí); 1 (Convocatoria Blended Finance 1, Resguardo Indigena Inga Villa Catalina para compra cosecha acaí); 4 (Naturaleza para la paz: 1. Awá - Asminawa; 2. RI Vegas, Camawari - RI Palmar Imbi, Semillas de Pazricaurte - RI Alto Cartagena, 3. Unipa - RI Guelmambi El Bombo; Jóvenes y Mujeres El Tiempo de Crear)</t>
  </si>
  <si>
    <t>1.1.13 Número de familias que están dentro de o coinciden con las áreas de especial interés ambiental beneficiadas con opciones de generación de ingresos o incentivos.</t>
  </si>
  <si>
    <t>300 (Cacao Catatumbo); 100 (Familias indígenas Barí)</t>
  </si>
  <si>
    <t>300 (Cacao Catatumbo)</t>
  </si>
  <si>
    <t>1.1.14 Número de iniciativas de apoyo para la estructuración de líneas de crédito blandas y subsidiadas para estimilar la productividad, incluyendo a través de medidas de adaptación, para productores de la economía campesina, familiar y comunitaria, operando en municipios PDET.</t>
  </si>
  <si>
    <t>2 (Convocatoria blended finance 1 Linea especial MEbA - Bancóldex medidas de adaptación; Crédito de fondeo CONTACTAR</t>
  </si>
  <si>
    <t xml:space="preserve">Indicadores del Fondo (Género): </t>
  </si>
  <si>
    <r>
      <rPr>
        <b/>
        <sz val="11"/>
        <color theme="1"/>
        <rFont val="Aptos Narrow"/>
        <family val="2"/>
        <scheme val="minor"/>
      </rPr>
      <t xml:space="preserve">G.1.1.2 </t>
    </r>
    <r>
      <rPr>
        <sz val="11"/>
        <color theme="1"/>
        <rFont val="Aptos Narrow"/>
        <family val="2"/>
        <scheme val="minor"/>
      </rPr>
      <t>Número de organizaciones solidarias de mujeres fortalecidas en capacidades productivas y administrativas en municipios PDET a través de los proyectos financiados por el MPTF.</t>
    </r>
  </si>
  <si>
    <t>3 (Cacao Catatumbo)</t>
  </si>
  <si>
    <r>
      <rPr>
        <b/>
        <sz val="11"/>
        <color theme="1"/>
        <rFont val="Aptos Narrow"/>
        <family val="2"/>
        <scheme val="minor"/>
      </rPr>
      <t>G.1.1.3</t>
    </r>
    <r>
      <rPr>
        <sz val="11"/>
        <color theme="1"/>
        <rFont val="Aptos Narrow"/>
        <family val="2"/>
        <scheme val="minor"/>
      </rPr>
      <t xml:space="preserve"> Número de proyectos productivos estructurados con visión a largo plazo con participación de las mujeres.</t>
    </r>
  </si>
  <si>
    <t>Resultado 1.2: Mejorada la percepción en tema de seguridad y confianza de la ciudadanía a nivel territorial en las instituciones.</t>
  </si>
  <si>
    <t xml:space="preserve"> Indicadores del Fondo: </t>
  </si>
  <si>
    <r>
      <rPr>
        <b/>
        <sz val="11"/>
        <color theme="1"/>
        <rFont val="Aptos Narrow"/>
        <family val="2"/>
        <scheme val="minor"/>
      </rPr>
      <t>1.2.1</t>
    </r>
    <r>
      <rPr>
        <sz val="11"/>
        <color theme="1"/>
        <rFont val="Aptos Narrow"/>
        <family val="2"/>
        <scheme val="minor"/>
      </rPr>
      <t xml:space="preserve"> Número de acciones de prevención y alerta temprana para la protección de líderes, dirigentes y activistas apoyados con recursos del Fondo. </t>
    </r>
  </si>
  <si>
    <t>Fortalecimiento al Sistema de Alertas Tempranas de la Defensoría del Pueblo: Convocatoria OSC Defensores de DDHH; 6 (Proyecto Defensores) ; 233 (Convocatoria Defensores 2)</t>
  </si>
  <si>
    <t>69 informes de seguimiento respecto a 78 alertas tempranas y 289 oficios de consumación en escenarios de riesgo; 
4 redes fortalecidas; 43 reportes de amenaza; 3 fondos de emergencia creados; 3 mapas de riesgo regionales; 1 informe publicado;  rutas de autoprotección construidas ; 6 iniciativas de prevención; 233 iniciativas de prevención colectivas</t>
  </si>
  <si>
    <t>Informe Final</t>
  </si>
  <si>
    <r>
      <rPr>
        <b/>
        <sz val="11"/>
        <color theme="1"/>
        <rFont val="Aptos Narrow"/>
        <family val="2"/>
        <scheme val="minor"/>
      </rPr>
      <t>1.2.1</t>
    </r>
    <r>
      <rPr>
        <sz val="11"/>
        <color theme="1"/>
        <rFont val="Aptos Narrow"/>
        <family val="2"/>
        <scheme val="minor"/>
      </rPr>
      <t xml:space="preserve"> Número de acciones de prevención y alerta temprana (reportes, insumos, etc) orientadas al cumplimiento del Programa integral de seguridad y protección para comunidades, líderes, dirigentes, representantes y activistas de organizaciones sociales, populares, étnicas, de mujeres y de género, implementadas, apoyadas con recursos del Fondo. </t>
    </r>
  </si>
  <si>
    <t>11 (Convocatoria Defensores 1); 19 (Convocatoria Defensores 2); 54 (Proyecto Defensores)</t>
  </si>
  <si>
    <t>1.2.2 Número de medidas de fortalecimiento a los sistemas propios de protección de pueblos NARP, indígenas y Rrom implementadas.</t>
  </si>
  <si>
    <t>4 (convocatoria Defensores 1); 7 (Convocatoria Defensores 2)</t>
  </si>
  <si>
    <r>
      <rPr>
        <b/>
        <sz val="11"/>
        <color theme="1"/>
        <rFont val="Aptos Narrow"/>
        <family val="2"/>
        <scheme val="minor"/>
      </rPr>
      <t>1.2.2</t>
    </r>
    <r>
      <rPr>
        <sz val="11"/>
        <color theme="1"/>
        <rFont val="Aptos Narrow"/>
        <family val="2"/>
        <scheme val="minor"/>
      </rPr>
      <t xml:space="preserve"> Número de alertas tempranas emitidas para los territorios focalizados como resultado del proyecto apoyado por el Fondo</t>
    </r>
  </si>
  <si>
    <t xml:space="preserve">Fortalecimiento al Sistema de Alertas Tempranas de la Defensoría del Pueblo </t>
  </si>
  <si>
    <t xml:space="preserve">99 Alertas Tempranas: Dos (2) alertas de alcance nacional y 97 alertas en territorios focalizados. En 25 departamentos </t>
  </si>
  <si>
    <r>
      <rPr>
        <b/>
        <sz val="11"/>
        <color theme="1"/>
        <rFont val="Aptos Narrow"/>
        <family val="2"/>
        <scheme val="minor"/>
      </rPr>
      <t>1.2.3</t>
    </r>
    <r>
      <rPr>
        <sz val="11"/>
        <color theme="1"/>
        <rFont val="Aptos Narrow"/>
        <family val="2"/>
        <scheme val="minor"/>
      </rPr>
      <t xml:space="preserve"> Metodología para la identificación de las condiciones de amenaza y vulnerabilidad de la población diseñada y en uso por parte del equipo regional y nacional del SAT</t>
    </r>
  </si>
  <si>
    <t xml:space="preserve">1 metodología </t>
  </si>
  <si>
    <t>Resultado 1.3: Manejar de forma constructiva y transformadora la conflictividad social en los territorios a través de intervenciones proactivas, con enfoque en los jóvenes, que prevengan la inestabilidad y nuevos ciclos de violencia, y promuevan una cultura de paz.</t>
  </si>
  <si>
    <r>
      <rPr>
        <b/>
        <sz val="11"/>
        <color theme="1"/>
        <rFont val="Aptos Narrow"/>
        <family val="2"/>
        <scheme val="minor"/>
      </rPr>
      <t>1.3.1</t>
    </r>
    <r>
      <rPr>
        <sz val="11"/>
        <color theme="1"/>
        <rFont val="Aptos Narrow"/>
        <family val="2"/>
        <scheme val="minor"/>
      </rPr>
      <t xml:space="preserve"> Número de líderes sociales formados para fomentar la participación de sus comunidades en espacios de decisión.</t>
    </r>
  </si>
  <si>
    <t>(Hombres 294, mujeres 606) (Curules de paz)270 (Jurisdicción Agraria); 25 (PNIS Comercialización)</t>
  </si>
  <si>
    <r>
      <t xml:space="preserve">132 (Confianza y Paz); 1946 (Capacidades PDET); 65 (Prevención de reclutamiento); 2309 (Convocatoria Defensores); </t>
    </r>
    <r>
      <rPr>
        <sz val="11"/>
        <color theme="4"/>
        <rFont val="Aptos Narrow"/>
        <family val="2"/>
        <scheme val="minor"/>
      </rPr>
      <t>16 (Instancia de Mujeres); 8 (Instancia Étnica); 518 (Entornos de paz y reconciliación); 111 (Estabilización Territorial);</t>
    </r>
    <r>
      <rPr>
        <sz val="11"/>
        <color theme="1"/>
        <rFont val="Aptos Narrow"/>
        <family val="2"/>
        <scheme val="minor"/>
      </rPr>
      <t xml:space="preserve"> 1757 (Salud para la Paz 1); 1164 (Salud para la paz 2); 117 (Proyecto Defensores); 506 (Apoyo URT); 1412 (Proyecto Defensores); 2540 ( 1546 mujeres y 994 hombres) (Convocatoria Defensores 2);  940 (Hombres 270, mujeres 637, LGBT 33) (Curules de paz); 25 (PNIS Comercialización)</t>
    </r>
  </si>
  <si>
    <r>
      <rPr>
        <b/>
        <sz val="11"/>
        <color theme="1"/>
        <rFont val="Aptos Narrow"/>
        <family val="2"/>
        <scheme val="minor"/>
      </rPr>
      <t xml:space="preserve">1.3.2 </t>
    </r>
    <r>
      <rPr>
        <sz val="11"/>
        <color theme="1"/>
        <rFont val="Aptos Narrow"/>
        <family val="2"/>
        <scheme val="minor"/>
      </rPr>
      <t xml:space="preserve">Número de pueblos y comunidades étnicas formados en temas de control social y veeduría en el marco de proyectos financiados por el fondo. </t>
    </r>
  </si>
  <si>
    <t xml:space="preserve">2 (Barí y Nukak) POT Catatumbo, Curules de paz </t>
  </si>
  <si>
    <t>Infome Final</t>
  </si>
  <si>
    <r>
      <rPr>
        <b/>
        <sz val="11"/>
        <color theme="1"/>
        <rFont val="Aptos Narrow"/>
        <family val="2"/>
        <scheme val="minor"/>
      </rPr>
      <t xml:space="preserve">1.3.3 </t>
    </r>
    <r>
      <rPr>
        <sz val="11"/>
        <color theme="1"/>
        <rFont val="Aptos Narrow"/>
        <family val="2"/>
        <scheme val="minor"/>
      </rPr>
      <t xml:space="preserve">Número de pueblos étnicos y/o organizaciones indígenas, NARP y Rrom fortalecidas por medio de rutas concertadas en capacidades y estrategias para hacer parte de los ejercicios de elección de las Circunscripciones Transitorias para la PAZ. </t>
    </r>
  </si>
  <si>
    <t>1 comunidad Nukak (Curules de Paz)</t>
  </si>
  <si>
    <r>
      <rPr>
        <b/>
        <sz val="11"/>
        <color theme="1"/>
        <rFont val="Aptos Narrow"/>
        <family val="2"/>
        <scheme val="minor"/>
      </rPr>
      <t xml:space="preserve">1.3.4 </t>
    </r>
    <r>
      <rPr>
        <sz val="11"/>
        <color theme="1"/>
        <rFont val="Aptos Narrow"/>
        <family val="2"/>
        <scheme val="minor"/>
      </rPr>
      <t xml:space="preserve">Numero de estrategias y programas de formación propia en cultura democrática y DDHH con pueblos y comunidades étnicas implementadas financiadas por el Fondo. </t>
    </r>
  </si>
  <si>
    <t>1 (Mecanismo Especial de Consulta Comunidad Barí) POT Catatumbo</t>
  </si>
  <si>
    <t>Resultado 1.4: Fortalecer capacidades institucionales territoriales para fortalecer y permitir una construcción local integral del Estado, con enfoque especial en las poblaciones más vulnerables, así como en la participación de la ciudadanía.</t>
  </si>
  <si>
    <r>
      <rPr>
        <b/>
        <sz val="11"/>
        <color theme="1"/>
        <rFont val="Aptos Narrow"/>
        <family val="2"/>
        <scheme val="minor"/>
      </rPr>
      <t>1.4.1</t>
    </r>
    <r>
      <rPr>
        <sz val="11"/>
        <color theme="1"/>
        <rFont val="Aptos Narrow"/>
        <family val="2"/>
        <scheme val="minor"/>
      </rPr>
      <t xml:space="preserve"> Número de organizaciones solidarias fortalecidas en capacidades productivas y administrativas en municipios PDET</t>
    </r>
  </si>
  <si>
    <r>
      <t xml:space="preserve">163(2019); 111 (CapacidadesPDET); </t>
    </r>
    <r>
      <rPr>
        <sz val="11"/>
        <color theme="4"/>
        <rFont val="Aptos Narrow"/>
        <family val="2"/>
        <scheme val="minor"/>
      </rPr>
      <t>5 (Apoyo PGN 2); 12 (Apoyo a la CEV); 1 (Instancia de Género)</t>
    </r>
    <r>
      <rPr>
        <sz val="11"/>
        <color theme="1"/>
        <rFont val="Aptos Narrow"/>
        <family val="2"/>
        <scheme val="minor"/>
      </rPr>
      <t xml:space="preserve">; 120 Organizaciones etnico territoriales (Convocatoria Defensores); </t>
    </r>
    <r>
      <rPr>
        <sz val="11"/>
        <color theme="4"/>
        <rFont val="Aptos Narrow"/>
        <family val="2"/>
        <scheme val="minor"/>
      </rPr>
      <t>41 (Convocatoria Reincorporación); 32 (Convocatoria Víctimas)</t>
    </r>
    <r>
      <rPr>
        <sz val="11"/>
        <color theme="1"/>
        <rFont val="Aptos Narrow"/>
        <family val="2"/>
        <scheme val="minor"/>
      </rPr>
      <t>; 30 (WPH)</t>
    </r>
  </si>
  <si>
    <t>Reporte Final y trimestral</t>
  </si>
  <si>
    <r>
      <rPr>
        <b/>
        <sz val="11"/>
        <color theme="1"/>
        <rFont val="Aptos Narrow"/>
        <family val="2"/>
        <scheme val="minor"/>
      </rPr>
      <t>1.4.2</t>
    </r>
    <r>
      <rPr>
        <sz val="11"/>
        <color theme="1"/>
        <rFont val="Aptos Narrow"/>
        <family val="2"/>
        <scheme val="minor"/>
      </rPr>
      <t xml:space="preserve"> Número de beneficiarios con acceso a soluciones de agua creadas o fortalecidas como resultado de proyectos apoyados por el Fondo </t>
    </r>
  </si>
  <si>
    <t>WASH, Confianza y Paz</t>
  </si>
  <si>
    <t>Informes Finales</t>
  </si>
  <si>
    <t>680 familias beneficiadas en Confianza y paz se calcula 5 miembros por familias</t>
  </si>
  <si>
    <r>
      <rPr>
        <b/>
        <sz val="11"/>
        <color theme="1"/>
        <rFont val="Aptos Narrow"/>
        <family val="2"/>
        <scheme val="minor"/>
      </rPr>
      <t>1.4.3</t>
    </r>
    <r>
      <rPr>
        <sz val="11"/>
        <color theme="1"/>
        <rFont val="Aptos Narrow"/>
        <family val="2"/>
        <scheme val="minor"/>
      </rPr>
      <t xml:space="preserve"> Número de beneficiarios con acceso a soluciones de saneamiento creadas o fortalecidas como resultado de proyectos apoyados por el Fondo </t>
    </r>
  </si>
  <si>
    <r>
      <rPr>
        <b/>
        <sz val="11"/>
        <color theme="1"/>
        <rFont val="Aptos Narrow"/>
        <family val="2"/>
        <scheme val="minor"/>
      </rPr>
      <t>1.4.4</t>
    </r>
    <r>
      <rPr>
        <sz val="11"/>
        <color theme="1"/>
        <rFont val="Aptos Narrow"/>
        <family val="2"/>
        <scheme val="minor"/>
      </rPr>
      <t xml:space="preserve"> Porcentaje de centros de salud construidos o mejorados en territorios definidos con apoyo de recursos del Fondo</t>
    </r>
  </si>
  <si>
    <t>1 (MOP II); 23 (Salud para la paz 1); 2 (Confianza y Paz); 27 (Salud para la paz/UAIC dotadas); 1 (Integración Socioeconómica)</t>
  </si>
  <si>
    <r>
      <rPr>
        <b/>
        <sz val="11"/>
        <color theme="1"/>
        <rFont val="Aptos Narrow"/>
        <family val="2"/>
        <scheme val="minor"/>
      </rPr>
      <t xml:space="preserve">1.4.1 </t>
    </r>
    <r>
      <rPr>
        <sz val="11"/>
        <color theme="1"/>
        <rFont val="Aptos Narrow"/>
        <family val="2"/>
        <scheme val="minor"/>
      </rPr>
      <t>Número de iniciativas PDET incorporadas en los Planes Municipales de Desarrollo.</t>
    </r>
  </si>
  <si>
    <t>127 (POT Catatumbo)</t>
  </si>
  <si>
    <r>
      <rPr>
        <b/>
        <sz val="11"/>
        <color theme="1"/>
        <rFont val="Aptos Narrow"/>
        <family val="2"/>
        <scheme val="minor"/>
      </rPr>
      <t>1.4.2</t>
    </r>
    <r>
      <rPr>
        <sz val="11"/>
        <color theme="1"/>
        <rFont val="Aptos Narrow"/>
        <family val="2"/>
        <scheme val="minor"/>
      </rPr>
      <t xml:space="preserve">  Número de instituciones nacionales y locales fortalecidas para contribuir en la formalización y compra de pequeña y mediana propiedad rural.</t>
    </r>
  </si>
  <si>
    <t>2 (ANT y UPRA Andes)</t>
  </si>
  <si>
    <t>Resultado 1.5: Mejorado el acceso de la población que vive en territorios rurales a mecanismos de justicia formal y alternativa, con el fin de garantizar mayor justicia, equidad, tranquilidad y un orden social y político democrático en los territorios.</t>
  </si>
  <si>
    <r>
      <t>1.5.1</t>
    </r>
    <r>
      <rPr>
        <sz val="11"/>
        <color theme="1"/>
        <rFont val="Aptos Narrow"/>
        <family val="2"/>
        <scheme val="minor"/>
      </rPr>
      <t xml:space="preserve">  Porcentaje/número de mujeres u organizaciones que accedieron (como operadoras y/o beneficiarias) a la conciliación en derecho, en equidad, mediación y/o otros mecanismos para solucionar conflictos incluidos los de uso y tenencia de la tierra través de proyectos financiados por el fondo. </t>
    </r>
  </si>
  <si>
    <t>Cacao Catatumbo 36% (107 mujeres, 87 campesinas, 20 indígenas)</t>
  </si>
  <si>
    <t xml:space="preserve">Convocatoria WPH; 1363 (modelos de justicia local); </t>
  </si>
  <si>
    <t>G.1.3.1 Número de mujeres capacitadas en derechos y participación política a través de proyectos del MPTF.</t>
  </si>
  <si>
    <t>POT Catatumbo (41); 481 (Cururles de Paz)</t>
  </si>
  <si>
    <t>2584 (Confianza y Paz); 589 (Capacidades PDET); 200 (Convocatoria WPH); 100 (Convocatoria Defensores); 189 (Justicia Local), 487 (Blended Finance); 9883; Defensorxs II: 3195; WPHF (2 convocatorias) 1146; PNIS 708 (600 mujeres recolectoras y 108 mujeres jóvenes familiares)); 375 (entornos de paz); 222 (eestudios de prefactibilidad); 286 modelo de cuidado; (Apoyo al Legado CEV III) 3834, 17422(JEP), 25090 (retornos PDET), 4.450 (Convocatoria Legado CEV), 125 (frutos) restitución; 2549 (voces), 17 (delegadas IEM); 1893 (Convocatoria Defensores); 637 (Cururles de Paz);</t>
  </si>
  <si>
    <t>informe final</t>
  </si>
  <si>
    <t>G.1.3.2 Número de programas de formación sobre los derechos políticos y formas de participación política y ciudadana de la mujer creados y en implementación a través de los proyectos financiados por el MPTF.</t>
  </si>
  <si>
    <t>3 (curules de paz); 8 (conv comunicaciones)</t>
  </si>
  <si>
    <t xml:space="preserve">Convocatoria WPH; 2 (Justicia Local); 1 (Blended Finance capacitó a 487 mujeres); 12 (Convocatoria WPHF ); 4 (Negocios inclusivos (1 por dpto)); 6 (Convocatoria Defensores 2) 1 (Reconciliación Chocó);  2. (modelo de cuidado y prefactibilidad); 10 (1 apoyo CEV, 8 legado de la CEV; 1 Procuraduría); Comunicaciones: 4 (Voces,  IEM; IAENPE, CEPDIPO); 11 (Convocatoria Defensores 2); 16 (curules de paz); </t>
  </si>
  <si>
    <t>informe Final</t>
  </si>
  <si>
    <t>G.1.3.3 Número de hombres y mujeres participando de manera equilibrada en instancias de participación ciudadana, partidos y movimientos, implementada</t>
  </si>
  <si>
    <t xml:space="preserve"> 158 hombres, 481 mujeres (Curules de paz)</t>
  </si>
  <si>
    <t>1,475 (Capacidades PDET/Grupos Motor); 5,836 (Confianza y Paz); 1428 (888 mujeres y 540 hombres) (Convocatoria Defensores 2); 270 hmbres, 637 mujeres (Curules de paz)</t>
  </si>
  <si>
    <t>5980 mujeres, 3666 hombres</t>
  </si>
  <si>
    <t>G.1.3.4 Porcentaje de mujeres que conforman las organizaciones solidarias fortalecidas en capacidades productivas y administrativas en municipios PDET a través de los proyectos financiados por el MPTF.</t>
  </si>
  <si>
    <t>36% (Cacao Catatumbo); 74% (Naturaleza para la paz); 30% (PNIS Comercialización 323 mujeres)</t>
  </si>
  <si>
    <r>
      <t xml:space="preserve">667(Plan de Contingencia, Convocatoria WPH); 479 (Confianza y Paz); 589 (Capacidades PDET); 147 (Estabilización Territorial); </t>
    </r>
    <r>
      <rPr>
        <sz val="11"/>
        <color theme="4"/>
        <rFont val="Aptos Narrow"/>
        <family val="2"/>
        <scheme val="minor"/>
      </rPr>
      <t>143 (Entornos de Paz y Reconciliación);</t>
    </r>
    <r>
      <rPr>
        <sz val="11"/>
        <color theme="1"/>
        <rFont val="Aptos Narrow"/>
        <family val="2"/>
        <scheme val="minor"/>
      </rPr>
      <t xml:space="preserve"> 2162 (Blended); 40% (Convocatoria Defensores); 54% (Socio económico Chocó); 54% (Socio económico Chocó); 24% (Negocios Inclusivos); 15% (PNIS Comercialización); 45% (Cacao Catatumbo); (PNIS Comercialización 323 mujeres)</t>
    </r>
  </si>
  <si>
    <t>Acción Integral Contra Minas Antipersonal (AICMA)</t>
  </si>
  <si>
    <t>Indicadores del Fondo:</t>
  </si>
  <si>
    <r>
      <rPr>
        <b/>
        <sz val="11"/>
        <color theme="1"/>
        <rFont val="Aptos Narrow"/>
        <family val="2"/>
        <scheme val="minor"/>
      </rPr>
      <t xml:space="preserve">1.6.1 </t>
    </r>
    <r>
      <rPr>
        <sz val="11"/>
        <color theme="1"/>
        <rFont val="Aptos Narrow"/>
        <family val="2"/>
        <scheme val="minor"/>
      </rPr>
      <t>Número de metros cuadrados con sospecha de presencia de MAP y/o MUSE despejados a través de proyectos financiados por el MPTF.</t>
    </r>
  </si>
  <si>
    <t>78.650 (Humanicemos DH)</t>
  </si>
  <si>
    <r>
      <rPr>
        <b/>
        <sz val="11"/>
        <color theme="1"/>
        <rFont val="Aptos Narrow"/>
        <family val="2"/>
        <scheme val="minor"/>
      </rPr>
      <t>1.6.2</t>
    </r>
    <r>
      <rPr>
        <sz val="11"/>
        <color theme="1"/>
        <rFont val="Aptos Narrow"/>
        <family val="2"/>
        <scheme val="minor"/>
      </rPr>
      <t xml:space="preserve"> Número de veredas y/o sectores libres de presencia de MAP y/o MUSE entregadas a las comunidades a través de proyectos financiados por el MPTF.</t>
    </r>
  </si>
  <si>
    <t>1 Municipio Solita (Humanicemos DH)</t>
  </si>
  <si>
    <r>
      <rPr>
        <b/>
        <sz val="11"/>
        <color theme="1"/>
        <rFont val="Aptos Narrow"/>
        <family val="2"/>
        <scheme val="minor"/>
      </rPr>
      <t>1.6.4</t>
    </r>
    <r>
      <rPr>
        <sz val="11"/>
        <color theme="1"/>
        <rFont val="Aptos Narrow"/>
        <family val="2"/>
        <scheme val="minor"/>
      </rPr>
      <t xml:space="preserve"> Número de iniciativas para el desarrollo socioeconómico generadas en las comunidades beneficiarias gracias al despeje de las tierras o a la gestión de los operadores con otros socios o actores locales que impulsen este tipo de iniciativas.</t>
    </r>
  </si>
  <si>
    <t>6 (Humanicemos DH)</t>
  </si>
  <si>
    <r>
      <rPr>
        <b/>
        <sz val="11"/>
        <color theme="1"/>
        <rFont val="Aptos Narrow"/>
        <family val="2"/>
        <scheme val="minor"/>
      </rPr>
      <t>1.6.6</t>
    </r>
    <r>
      <rPr>
        <sz val="11"/>
        <color theme="1"/>
        <rFont val="Aptos Narrow"/>
        <family val="2"/>
        <scheme val="minor"/>
      </rPr>
      <t xml:space="preserve"> Número de personas (hombres, mujeres, niños, niñas) beneficiarios de programas de educación en el riesgo de minas en municipios priorizados por la autoridad nacional.</t>
    </r>
  </si>
  <si>
    <t>(Hombres: 42,371; Mujeres: 35,312; Niñas: 29,153; Niños: 30,434) Humanicemos DH; Hombres: 35,931; Mujeres: 42,175; niñas: 61,878; niños: 63,787) ERM</t>
  </si>
  <si>
    <t xml:space="preserve">(Hombres: 42,371; Mujeres: 35,312; Niñas: 29,153; Niños: 30,434) Humanicemos DH; Hombres: 35,931; Mujeres: 42,175; niñas: 61,878; niños: 63,787) ERM. Total: 341,041 </t>
  </si>
  <si>
    <t>(Hombres: 42,371; Mujeres: 35,312; Niñas: 29,153; Niños: 30,434) Humanicemos DH; Hombres: 35,931; Mujeres: 42,175; niñas: 61,878; niños: 63,787) ERM; 31,434 (otros)</t>
  </si>
  <si>
    <r>
      <t xml:space="preserve">1.6.8 </t>
    </r>
    <r>
      <rPr>
        <sz val="11"/>
        <color theme="1"/>
        <rFont val="Aptos Narrow"/>
        <family val="2"/>
        <scheme val="minor"/>
      </rPr>
      <t>Número de territorios étnicos afectados por MAP-MUSE que se encuentran libres de estos artefactos donde se realizó concertación con los pueblos y comunidades étnicas.</t>
    </r>
  </si>
  <si>
    <t>Resultado 1.7. Apoyo a la articulación de las políticas y planes en materia de desminado humanitario en los territorios.</t>
  </si>
  <si>
    <r>
      <rPr>
        <b/>
        <sz val="11"/>
        <color theme="1"/>
        <rFont val="Aptos Narrow"/>
        <family val="2"/>
        <scheme val="minor"/>
      </rPr>
      <t xml:space="preserve">1.7.1 </t>
    </r>
    <r>
      <rPr>
        <sz val="11"/>
        <color theme="1"/>
        <rFont val="Aptos Narrow"/>
        <family val="2"/>
        <scheme val="minor"/>
      </rPr>
      <t xml:space="preserve">Número de iniciativas que promueven la articulacion interinstitucional con el desminado humanitario para la implementacion en los territorios a traves de proyectos financiados por el Fondo. </t>
    </r>
  </si>
  <si>
    <t>3 (acreditación de organizaciones de desminado, certificación de personas y traspaso de metodología a la autoridad nacional ERM)</t>
  </si>
  <si>
    <t>Indicadores del Fondo (Género):</t>
  </si>
  <si>
    <r>
      <rPr>
        <b/>
        <sz val="11"/>
        <color theme="1"/>
        <rFont val="Aptos Narrow"/>
        <family val="2"/>
        <scheme val="minor"/>
      </rPr>
      <t>G.1.7.1</t>
    </r>
    <r>
      <rPr>
        <sz val="11"/>
        <color theme="1"/>
        <rFont val="Aptos Narrow"/>
        <family val="2"/>
        <scheme val="minor"/>
      </rPr>
      <t xml:space="preserve"> Número de personas vinculado a las actividades de AICMA capacitado en enfoque de igualdad de género.</t>
    </r>
  </si>
  <si>
    <t>37 (Humanicemos DH)</t>
  </si>
  <si>
    <t>1 (ERM)</t>
  </si>
  <si>
    <r>
      <rPr>
        <b/>
        <sz val="11"/>
        <color theme="1"/>
        <rFont val="Aptos Narrow"/>
        <family val="2"/>
        <scheme val="minor"/>
      </rPr>
      <t xml:space="preserve">G.1.7.3 </t>
    </r>
    <r>
      <rPr>
        <sz val="11"/>
        <color theme="1"/>
        <rFont val="Aptos Narrow"/>
        <family val="2"/>
        <scheme val="minor"/>
      </rPr>
      <t>Número de estrategias de ERM implementadas que tienen en cuenta las necesidades y riesgos diferenciados de hombres, mujeres y población LGBTI.</t>
    </r>
  </si>
  <si>
    <t>3 (socializaciones de la ruta de atención de VBG dirigida a las comunidades beneficiarias Humanicemos DH)</t>
  </si>
  <si>
    <t>ÁMBITO 2: REINCORPORACIÓN</t>
  </si>
  <si>
    <r>
      <rPr>
        <b/>
        <sz val="11"/>
        <color theme="1"/>
        <rFont val="Aptos Narrow"/>
        <family val="2"/>
        <scheme val="minor"/>
      </rPr>
      <t>2.1</t>
    </r>
    <r>
      <rPr>
        <sz val="11"/>
        <color theme="1"/>
        <rFont val="Aptos Narrow"/>
        <family val="2"/>
        <scheme val="minor"/>
      </rPr>
      <t xml:space="preserve"> Percepción de los excombatientes frente al avance de su proceso de reincorporación en la vida civil</t>
    </r>
  </si>
  <si>
    <t xml:space="preserve">Crece la percepción de mayor confianza hacía excombatientes que hayan pasado por procesos de reintegración. Pasa del 52,0% en 2019 al 64,0% en el 2023. Territorios con mayor desconfianza incluyen el Catatumbo (64.7%),  Sur de Tolima (46.4%) y Pacífico y Frontera Nariñense (48.5%). En el caso de las cinco ciudades grandes 42,2%.
Mientras el 48.6% estaría dispuesto a emplear o trabajar con un reincorporado, un 44.6% no lo estaría.
El 35,5% respondieron que se incrementaron los proyectos sociales, pero solo en beneficio de los excombatientes, el 28,7% dijo que no hubo ningún impacto y el 14% afirmó que se incrementaron los proyectos sociales para los excombatientes y las comunidades. Al comparar los municipios PDET que tienen AETCR con aquellos que no, se observa una diferencia de casi 10 pp. Esta tasa es mayor en Sierra Nevada y Perijá (incremento 50,4% -   no hubo impacto 42,3%); Urabá Antioqueño (49,0% - 28,7%); Arauca (49,7%-17,6%) y Sur de Tolima (49,5%-17,4%) </t>
  </si>
  <si>
    <t>INSTRUMENTO DE MEDICIÓN PERCEPCIÓN Y SATISFACCIÓN ARN 2020</t>
  </si>
  <si>
    <t xml:space="preserve">79% (2020)
87% (2022)
Crece la percepción de mayor confianza hacía excombatientes que hayan pasado por procesos de reintegración. Pasa del 52,0% en 2019 al 64,0% en el 2023. Territorios con mayor desconfianza incluyen el Catatumbo (64.7%),  Sur de Tolima (46.4%) y Pacífico y Frontera Nariñense (48.5%). En el caso de las cinco ciudades grandes 42,2%.
Mientras el 48.6% estaría dispuesto a emplear o trabajar con un reincorporado, un 44.6% no lo estaría.
El 35,5% respondieron que se incrementaron los proyectos sociales, pero solo en beneficio de los excombatientes, el 28,7% dijo que no hubo ningún impacto y el 14% afirmó que se incrementaron los proyectos sociales para los excombatientes y las comunidades. Al comparar los municipios PDET que tienen AETCR con aquellos que no, se observa una diferencia de casi 10 pp. Esta tasa es mayor en Sierra Nevada y Perijá (incremento 50,4% -   no hubo impacto 42,3%); Urabá Antioqueño (49,0% - 28,7%); Arauca (49,7%-17,6%) y Sur de Tolima (49,5%-17,4%) </t>
  </si>
  <si>
    <t xml:space="preserve">¿Qué tan satisfecho se ha sentido con su proceso de Reintegración / 
Reincorporación? </t>
  </si>
  <si>
    <r>
      <rPr>
        <b/>
        <sz val="11"/>
        <color theme="1"/>
        <rFont val="Aptos Narrow"/>
        <family val="2"/>
        <scheme val="minor"/>
      </rPr>
      <t xml:space="preserve">2.2 </t>
    </r>
    <r>
      <rPr>
        <sz val="11"/>
        <color theme="1"/>
        <rFont val="Aptos Narrow"/>
        <family val="2"/>
        <scheme val="minor"/>
      </rPr>
      <t xml:space="preserve">Percepción de las comunidades frente a la llegada y/o establecimiento de excombatientes a su territorio </t>
    </r>
  </si>
  <si>
    <t>INICIATIVA DE MEDICIÓN DE LA PERCEPCIÓN CIUDADANA SOBRE LA IMPLEMENTACIÓN DEL PROCESO DE PAZ (UNDP, PRIO, ANDES)</t>
  </si>
  <si>
    <t xml:space="preserve">¿Qué tan de acuerdo está con la reincorporación de las Ex FARC EP? 2019: 13,7%, 2021: 18,3%
¿Los excombatientes deben conseguir beneficios del Estado?: 2019: 9,1%, 15,3%
¿Qué tanto confía usted en los reincorporados de las FARC?: 2019: 80,5% nada, 2021: 87,3% nada.
¿Estaría cómodo teniendo un exFARC cómo vecino?: 2019: 25% Si, 2012: 36,1% Si.
¿Confía en quienes han pasado procesos de reincorporación/reintegración?: 2019: 6,1% totalmente de acuerdo, 2021: 9,7% totalmente de acuerdo.
¿Cómo va la implementación de la reincoporación de ex FACR EP? 2019: 21,5%, 2021: 17,5%. </t>
  </si>
  <si>
    <t>Resultado 2.1: Apoyada la estructuración e implementación de proyectos de reincorporación con enfoque comunitario, que permitan cohesión social y desarrollo económico entre la población excombatiente y las comunidades, incluyendo acciones de economía de cuidado.</t>
  </si>
  <si>
    <r>
      <rPr>
        <b/>
        <sz val="11"/>
        <color theme="1"/>
        <rFont val="Aptos Narrow"/>
        <family val="2"/>
        <scheme val="minor"/>
      </rPr>
      <t>2.1.1</t>
    </r>
    <r>
      <rPr>
        <sz val="11"/>
        <color theme="1"/>
        <rFont val="Aptos Narrow"/>
        <family val="2"/>
        <scheme val="minor"/>
      </rPr>
      <t xml:space="preserve"> Número de proyectos de reincorporación apoyados en su formulación, presentación y aprobación ante el CNR</t>
    </r>
  </si>
  <si>
    <t>23 colectivos y 200 individuales (Entornos Productivos); 58 colectivos y 1,038 (Entornos de Paz y Reconciliación); 2 convocatoria reconciliación; 39 colectivos (Sostenibilidad reincorporación)</t>
  </si>
  <si>
    <t>120 colectivos y 1,238 individuales</t>
  </si>
  <si>
    <r>
      <rPr>
        <b/>
        <sz val="11"/>
        <color theme="1"/>
        <rFont val="Aptos Narrow"/>
        <family val="2"/>
        <scheme val="minor"/>
      </rPr>
      <t>2.1.2</t>
    </r>
    <r>
      <rPr>
        <sz val="11"/>
        <color theme="1"/>
        <rFont val="Aptos Narrow"/>
        <family val="2"/>
        <scheme val="minor"/>
      </rPr>
      <t xml:space="preserve"> Número de excombatientes que participan en los proyectos productivos individuales o colectivos financiados por el MPTF</t>
    </r>
  </si>
  <si>
    <r>
      <t xml:space="preserve">Sostenibilidad Reincorporación </t>
    </r>
    <r>
      <rPr>
        <sz val="11"/>
        <color rgb="FFFF0000"/>
        <rFont val="Aptos Narrow"/>
        <family val="2"/>
        <scheme val="minor"/>
      </rPr>
      <t xml:space="preserve">(3715) ya contados en sumas anteriores; </t>
    </r>
    <r>
      <rPr>
        <sz val="11"/>
        <rFont val="Aptos Narrow"/>
        <family val="2"/>
        <scheme val="minor"/>
      </rPr>
      <t xml:space="preserve">84 (HUMANICEMOS 3); </t>
    </r>
    <r>
      <rPr>
        <sz val="11"/>
        <color rgb="FFFF0000"/>
        <rFont val="Aptos Narrow"/>
        <family val="2"/>
        <scheme val="minor"/>
      </rPr>
      <t>975 (Naturaleza para la paz ya contados en sumas anteriores</t>
    </r>
  </si>
  <si>
    <t xml:space="preserve">Informe  final </t>
  </si>
  <si>
    <r>
      <t xml:space="preserve">1,746 (Entornos Productivos); 2,749 (Entornos de Paz y Reconciliación); 876 (Integración Socioeconómica); </t>
    </r>
    <r>
      <rPr>
        <sz val="11"/>
        <color rgb="FFFF0000"/>
        <rFont val="Aptos Narrow"/>
        <family val="2"/>
        <scheme val="minor"/>
      </rPr>
      <t>1,129 (Vivienda); 2,375 (Convocatoria Reconciliación)</t>
    </r>
    <r>
      <rPr>
        <sz val="11"/>
        <rFont val="Aptos Narrow"/>
        <family val="2"/>
        <scheme val="minor"/>
      </rPr>
      <t>; 733 (Entornos de Paz y Reconciliación); 3742 (sostenibildad reincorporación);</t>
    </r>
    <r>
      <rPr>
        <sz val="11"/>
        <color rgb="FFFF0000"/>
        <rFont val="Aptos Narrow"/>
        <family val="2"/>
        <scheme val="minor"/>
      </rPr>
      <t xml:space="preserve"> 7024 (Naturaleza para la paz)</t>
    </r>
    <r>
      <rPr>
        <sz val="11"/>
        <rFont val="Aptos Narrow"/>
        <family val="2"/>
        <scheme val="minor"/>
      </rPr>
      <t xml:space="preserve">; </t>
    </r>
    <r>
      <rPr>
        <sz val="11"/>
        <color rgb="FFFF0000"/>
        <rFont val="Aptos Narrow"/>
        <family val="2"/>
        <scheme val="minor"/>
      </rPr>
      <t>1373 Hombres, 2185 mujeres (Modelo de Cuidado)</t>
    </r>
  </si>
  <si>
    <t>No se suman los firmantes de los proyectos de vivienda, conv de reconciliación y naturaleza para la paz, modelo de cuidado que se desarrollan en los mismos AETCR de los proyectos de reincoporación con el fin de disminuir el traslape.</t>
  </si>
  <si>
    <r>
      <rPr>
        <b/>
        <sz val="11"/>
        <color theme="1"/>
        <rFont val="Aptos Narrow"/>
        <family val="2"/>
        <scheme val="minor"/>
      </rPr>
      <t>2.1.2</t>
    </r>
    <r>
      <rPr>
        <sz val="11"/>
        <color theme="1"/>
        <rFont val="Aptos Narrow"/>
        <family val="2"/>
        <scheme val="minor"/>
      </rPr>
      <t xml:space="preserve"> Número de excombatientes que participan en los proyectos productivos individuales o colectivos que han sido fortalecidos en temas de sostenibilidad (definida por las partes) financiados por el MPTF.</t>
    </r>
  </si>
  <si>
    <t>Sostenibilidad en la reincorporación (Hombres: 1231; mujeres: 489)</t>
  </si>
  <si>
    <t>Resultado 2.2: Acompañamiento psicosocial integral brindado como eje fundamental en el desarrollo de la reincorporación</t>
  </si>
  <si>
    <r>
      <rPr>
        <b/>
        <sz val="11"/>
        <color theme="1"/>
        <rFont val="Aptos Narrow"/>
        <family val="2"/>
        <scheme val="minor"/>
      </rPr>
      <t>2.2.1</t>
    </r>
    <r>
      <rPr>
        <sz val="11"/>
        <color theme="1"/>
        <rFont val="Aptos Narrow"/>
        <family val="2"/>
        <scheme val="minor"/>
      </rPr>
      <t xml:space="preserve"> Número de ex combatientes que participan en planes y programas de reincorporación social financiados por el MPTF</t>
    </r>
  </si>
  <si>
    <r>
      <t xml:space="preserve">Sostenibilidad Reincorporación </t>
    </r>
    <r>
      <rPr>
        <sz val="11"/>
        <color rgb="FFFF0000"/>
        <rFont val="Aptos Narrow"/>
        <family val="2"/>
        <scheme val="minor"/>
      </rPr>
      <t xml:space="preserve">(3715) ya contados en sumas anteriores </t>
    </r>
  </si>
  <si>
    <r>
      <rPr>
        <sz val="11"/>
        <color rgb="FFFF0000"/>
        <rFont val="Aptos Narrow"/>
        <family val="2"/>
        <scheme val="minor"/>
      </rPr>
      <t>80 (Blended Finance)</t>
    </r>
    <r>
      <rPr>
        <sz val="11"/>
        <color theme="1"/>
        <rFont val="Aptos Narrow"/>
        <family val="2"/>
        <scheme val="minor"/>
      </rPr>
      <t xml:space="preserve">; 2524 (Entornos de Paz y Reconciliación); 2426 (Entornos productivos); 937 (Integración Socioeconómica); </t>
    </r>
    <r>
      <rPr>
        <sz val="11"/>
        <color rgb="FFFF0000"/>
        <rFont val="Aptos Narrow"/>
        <family val="2"/>
        <scheme val="minor"/>
      </rPr>
      <t>2229 (Entornos de Paz y Reconciliación)</t>
    </r>
    <r>
      <rPr>
        <sz val="11"/>
        <color theme="1"/>
        <rFont val="Aptos Narrow"/>
        <family val="2"/>
        <scheme val="minor"/>
      </rPr>
      <t xml:space="preserve">; </t>
    </r>
    <r>
      <rPr>
        <sz val="11"/>
        <color rgb="FFFF0000"/>
        <rFont val="Aptos Narrow"/>
        <family val="2"/>
        <scheme val="minor"/>
      </rPr>
      <t>17 (Naturaleza para la paz)</t>
    </r>
    <r>
      <rPr>
        <sz val="11"/>
        <color theme="1"/>
        <rFont val="Aptos Narrow"/>
        <family val="2"/>
        <scheme val="minor"/>
      </rPr>
      <t>; 3742 (Sostenibilidad Reincorporación)</t>
    </r>
  </si>
  <si>
    <t>Blended Finance / Corpocampo: 80 excombatientes de la Coop. del Pueblo Putumayense hacen se vinculan con la siembra de acaí y contratos de comercialización a través de Corpocampo</t>
  </si>
  <si>
    <t>Resultado 2.3:  Fortalecer programas educativos de formación para el trabajo, de capacidades blandas e inclusión económica.</t>
  </si>
  <si>
    <r>
      <rPr>
        <b/>
        <sz val="11"/>
        <color theme="1"/>
        <rFont val="Aptos Narrow"/>
        <family val="2"/>
        <scheme val="minor"/>
      </rPr>
      <t>2.3.1</t>
    </r>
    <r>
      <rPr>
        <sz val="11"/>
        <color theme="1"/>
        <rFont val="Aptos Narrow"/>
        <family val="2"/>
        <scheme val="minor"/>
      </rPr>
      <t xml:space="preserve"> Número de exintegrantes FARC EP formados en capacidades técnicas y blandas </t>
    </r>
  </si>
  <si>
    <t xml:space="preserve">Sostenibilidad Reincorporación (278); Naturaleza para la paz 66 (37 H y 29 M) </t>
  </si>
  <si>
    <t>870 (Integración Socioeconómica); 624 (Entornos Productivos); 2749 (Entornos de Paz y Reconciliación); 205 (Convocatoria reconciliación);  5 (Naturaleza para la paz); 292 (Sostenibilidad Reincorporación)</t>
  </si>
  <si>
    <t>G.2.2.1 Número de ex combatientes mujeres que participan en planes y programas de reincorporación social financiados en el MPTF.</t>
  </si>
  <si>
    <t>Modelo de cuidado (499)</t>
  </si>
  <si>
    <t>351 (Integración Socioeconómica); 19 (Blended); 624 (Entornos Productivos); 2524 (Entornos de Paz y Reconciliación); 808 (convocatoria reconciliación); 258 (Sostenibilidad reincorporación); 1127, 135 mujeres en situación de discapacidad (Modelo de cuidado)</t>
  </si>
  <si>
    <t>G.2.3.1 Número de exintegrantes mujeres FARC EP formadas en capacidades técnicas y blandas</t>
  </si>
  <si>
    <t>Sostenibilidad Reincorporación (141)</t>
  </si>
  <si>
    <t>114 (Entornos Productivos); 895 (Entornos de Paz y Reconciliación); 77 (Integración socioeconómica); 286 (modelo de cuidado);  222 (prefactibilidad); 205 (Sostenibilidad Reincorporación)</t>
  </si>
  <si>
    <t>ÁMBITO 3: VÍCTIMAS Y JUSTICIA TRANSICIONAL</t>
  </si>
  <si>
    <t>Aumenta el conocimiento de las entidades del sistema de justicia y verdad, pero sigue siendo alto los que no la conocen. Aumentó entre 2021 y 2023 para la CEV (4p.p.), la UBPD (9p.p.) y para la JEP (7.7p.p.)</t>
  </si>
  <si>
    <t>1. ¿Ha recibido alguna forma de repración por parte del Estado?: 2019:30%, 2021: 12,6%
2. Zonas PDET que manifiestas haber recibido algúna forma de reparación: Macarena-Guaviare, Urabá Antioqueño, Sierra Nevada - Perijá, Arauca, Cuenca del cagupan y Piedemonte, Sur del Tolima. 
3. Confianza en las instituciones de Justicia Trancisional: UBPD 23,1% algo, CEV 22% algo, JEP 23% algo.
4. Subregiones PDET que consideran que el país está avanzando hacia la reconciliación: Sur de Córdoba, Montes de Naría, Sierra Nevada - Perijá, Urabá Antioqueño, Bajo Cauca y Nordeste Antioqueño, Chocó, Sur del Bolivar, Macarena - Guaviare, Arauca, Pacífico y Frontera Nariñense.
Aumenta el conocimiento de las entidades del sistema de justicia y verdad, pero sigue siendo alto los que no la conocen. Aumentó entre 2021 y 2023 para la CEV (4p.p.), la UBPD (9p.p.) y para la JEP (7.7p.p.). La mayoría de las víctimas indican que no han sido reparadas, siendo Catatumbo la subregión con menos reparaciones, y la de mayor Montes de María. Persiste el desafío de comprender y apropiar la justicia restaurativa, como modelo para superar los daños del conflicto.  En promedio un 50,5% prefiere que pasen por justicia ordinaria,  y menos del 8% considera que pueden cumplir su sanción fuera de la cárcel, pero reparando a las víctimas y diciendo la verdad.</t>
  </si>
  <si>
    <r>
      <rPr>
        <b/>
        <sz val="11"/>
        <color theme="1"/>
        <rFont val="Aptos Narrow"/>
        <family val="2"/>
        <scheme val="minor"/>
      </rPr>
      <t>3.1</t>
    </r>
    <r>
      <rPr>
        <sz val="11"/>
        <color theme="1"/>
        <rFont val="Aptos Narrow"/>
        <family val="2"/>
        <scheme val="minor"/>
      </rPr>
      <t xml:space="preserve"> Percepción de las víctimas frente al SIVJRNR y los procesos de verdad, justicia, reparación y no repetición</t>
    </r>
  </si>
  <si>
    <t>La mayoría de las víctimas indican que no han sido reparadas, siendo Catatumbo la subregión con menos reparaciones, y la de mayor Montes de María.</t>
  </si>
  <si>
    <t>Persiste el desafío de comprender y apropiar la justicia restaurativa, como modelo para superar los daños del conflicto.  En promedio un 50,5% prefiere que pasen por justicia ordinaria,  y menos del 8% considera que pueden cumplir su sanción fuera de la cárcel, pero reparando a las víctimas y diciendo la verdad.</t>
  </si>
  <si>
    <t>Resultado 3.1: Apoyar y respaldar al Estado en su estrategia integral de asistencia y reparación a víctimas en la medida que el apoyo del Fondo contribuya a impulsar o agilizar las reparaciones, específicamente lo relacionado con el derecho a la restitución de tierras y a la memoria, con énfasis en las poblaciones étnicas, y articulando con los otros instrumentos para las víctimas y la implementación del Acuerdo de Paz.</t>
  </si>
  <si>
    <r>
      <rPr>
        <b/>
        <sz val="11"/>
        <color theme="1"/>
        <rFont val="Aptos Narrow"/>
        <family val="2"/>
        <scheme val="minor"/>
      </rPr>
      <t>3.1.1</t>
    </r>
    <r>
      <rPr>
        <sz val="11"/>
        <color theme="1"/>
        <rFont val="Aptos Narrow"/>
        <family val="2"/>
        <scheme val="minor"/>
      </rPr>
      <t xml:space="preserve"> Número de reparaciones a víctimas del conflicto aceleradas por la gestión de proyectos financiados por el Fondo</t>
    </r>
  </si>
  <si>
    <r>
      <t xml:space="preserve">42,251 (Reparaciones Individuales); </t>
    </r>
    <r>
      <rPr>
        <sz val="11"/>
        <rFont val="Aptos Narrow"/>
        <family val="2"/>
        <scheme val="minor"/>
      </rPr>
      <t>45,618 (Reparaciones y Retornos)</t>
    </r>
  </si>
  <si>
    <r>
      <rPr>
        <b/>
        <sz val="11"/>
        <color theme="1"/>
        <rFont val="Aptos Narrow"/>
        <family val="2"/>
        <scheme val="minor"/>
      </rPr>
      <t>3.1.2</t>
    </r>
    <r>
      <rPr>
        <sz val="11"/>
        <color theme="1"/>
        <rFont val="Aptos Narrow"/>
        <family val="2"/>
        <scheme val="minor"/>
      </rPr>
      <t xml:space="preserve"> Número de sujetos de reparación colectiva reparados en el marco de proyectos apoyados por el Fondo</t>
    </r>
  </si>
  <si>
    <t>27 (Reparaciones Colectivas); 10 medida de reparación colectiva implementada y 8 procesos de retorno (Reparaciones y Retornos), POT Catatumbo (1 Sujeto de reparación los Barí)</t>
  </si>
  <si>
    <r>
      <rPr>
        <b/>
        <sz val="11"/>
        <color theme="1"/>
        <rFont val="Aptos Narrow"/>
        <family val="2"/>
        <scheme val="minor"/>
      </rPr>
      <t>3.1.3</t>
    </r>
    <r>
      <rPr>
        <sz val="11"/>
        <color theme="1"/>
        <rFont val="Aptos Narrow"/>
        <family val="2"/>
        <scheme val="minor"/>
      </rPr>
      <t xml:space="preserve"> Número de víctimas con asistencia psicosocial en el marco de la gestión de proyectos financiados por el Fondo</t>
    </r>
  </si>
  <si>
    <t>42252 (Reparaciones Individuales); 445 (Reparaciones Colectivas)  20894 (Convocatoria de Víctimas 1);  92 (Salida NNA); 760 (Apoyo a la CEV); 5 organizaciones sociales y de mujeres apoyadas técnicamente  en la presentación de informes ante la JEP: (COCOMACIA, AMUDH, Madres de la Candelaria, Red de Mujeres del Catatumbo, ASOVIDA) (Fortalecimiento PGN); 1378 (Convocatoria Víctimas 1)</t>
  </si>
  <si>
    <t>Reporte Trimestral y Final</t>
  </si>
  <si>
    <r>
      <rPr>
        <b/>
        <sz val="11"/>
        <color theme="1"/>
        <rFont val="Aptos Narrow"/>
        <family val="2"/>
        <scheme val="minor"/>
      </rPr>
      <t>3.1.4</t>
    </r>
    <r>
      <rPr>
        <sz val="11"/>
        <color theme="1"/>
        <rFont val="Aptos Narrow"/>
        <family val="2"/>
        <scheme val="minor"/>
      </rPr>
      <t xml:space="preserve"> Número de menores apoyados en la salida de los campamentos de las FARC EP en el marco de proyectos financiados por el Fondo </t>
    </r>
  </si>
  <si>
    <t>Salida de NNA I y II</t>
  </si>
  <si>
    <r>
      <rPr>
        <b/>
        <sz val="11"/>
        <color theme="1"/>
        <rFont val="Aptos Narrow"/>
        <family val="2"/>
        <scheme val="minor"/>
      </rPr>
      <t>3.1.5</t>
    </r>
    <r>
      <rPr>
        <sz val="11"/>
        <color theme="1"/>
        <rFont val="Aptos Narrow"/>
        <family val="2"/>
        <scheme val="minor"/>
      </rPr>
      <t xml:space="preserve"> Número de menores acompañados en su proceso reincorporación civil en el marco de proyectos financiados por el Fondo </t>
    </r>
  </si>
  <si>
    <r>
      <rPr>
        <b/>
        <sz val="11"/>
        <color theme="1"/>
        <rFont val="Aptos Narrow"/>
        <family val="2"/>
        <scheme val="minor"/>
      </rPr>
      <t>3.1.3</t>
    </r>
    <r>
      <rPr>
        <sz val="11"/>
        <color theme="1"/>
        <rFont val="Aptos Narrow"/>
        <family val="2"/>
        <scheme val="minor"/>
      </rPr>
      <t xml:space="preserve"> Número de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comunidades acompañadas en su proceso de retorno o reubicación.</t>
    </r>
  </si>
  <si>
    <t>Restitución de Tierras (Mujeres: 125 (57%) Hombres: 95)</t>
  </si>
  <si>
    <r>
      <rPr>
        <b/>
        <sz val="11"/>
        <color rgb="FF000000"/>
        <rFont val="Calibri"/>
        <family val="2"/>
      </rPr>
      <t xml:space="preserve">3.1.4 </t>
    </r>
    <r>
      <rPr>
        <sz val="11"/>
        <color rgb="FF000000"/>
        <rFont val="Calibri"/>
        <family val="2"/>
      </rPr>
      <t>Número de acciones de retorno, restitucion de tierra y reparacion integral implementadas con los pueblos contempladas en el programa de asentamiento, retorno, devolucion y restitucion acordado e implementado con los territorios y pueblos étnicos priorizados en el literal d del punto 6.2.3 del Acuerdo de Paz.</t>
    </r>
  </si>
  <si>
    <t>1 (Restitución de Tierras)</t>
  </si>
  <si>
    <r>
      <rPr>
        <b/>
        <sz val="11"/>
        <color theme="1"/>
        <rFont val="Aptos Narrow"/>
        <family val="2"/>
        <scheme val="minor"/>
      </rPr>
      <t xml:space="preserve">3.1.5 </t>
    </r>
    <r>
      <rPr>
        <sz val="11"/>
        <color theme="1"/>
        <rFont val="Aptos Narrow"/>
        <family val="2"/>
        <scheme val="minor"/>
      </rPr>
      <t>Número de planes nacionales de reparación colectiva étnicos formulados, concertados, implementados con enfoque de género, mujer, familia y generación.</t>
    </r>
  </si>
  <si>
    <t>Apoyo a la actualización del Plan de Reparación Colectiva de los Barí (POT Catatumbo)</t>
  </si>
  <si>
    <r>
      <rPr>
        <b/>
        <sz val="11"/>
        <color rgb="FF000000"/>
        <rFont val="Aptos Narrow"/>
        <family val="2"/>
        <scheme val="minor"/>
      </rPr>
      <t>G.3.1.1</t>
    </r>
    <r>
      <rPr>
        <sz val="11"/>
        <color rgb="FF000000"/>
        <rFont val="Aptos Narrow"/>
        <family val="2"/>
        <scheme val="minor"/>
      </rPr>
      <t xml:space="preserve"> Número de comunidades reubicadas o retornadas, acompañadas con enfoque territorial y de género.</t>
    </r>
  </si>
  <si>
    <t>Resultado 3.2: Promover la garantía de los derechos de las víctimas a la verdad, la justicia, la reparación y la no repetición, a través de su participación en el Sistema de Justicia para la Paz fortalecido.</t>
  </si>
  <si>
    <r>
      <rPr>
        <b/>
        <sz val="11"/>
        <color rgb="FF000000"/>
        <rFont val="Aptos Narrow"/>
        <family val="2"/>
        <scheme val="minor"/>
      </rPr>
      <t>3.2.1</t>
    </r>
    <r>
      <rPr>
        <sz val="11"/>
        <color rgb="FF000000"/>
        <rFont val="Aptos Narrow"/>
        <family val="2"/>
        <scheme val="minor"/>
      </rPr>
      <t xml:space="preserve"> Número de hombres y mujeres que participan en los mecanismos de justicia transicional en el marco de la gestión de proyectos financiados por el Fondo</t>
    </r>
  </si>
  <si>
    <t>(hombres: 457, Mujeres: 1876)(JEP 3); (1787: H:357;M:1430);H:472; M:544)</t>
  </si>
  <si>
    <t>3850 mujeres
1286 hombres</t>
  </si>
  <si>
    <t xml:space="preserve">43419 (Convocatoria de Víctimas, Apoyo a la JEP/CEV/UBPD); 4950 (Apoyo a la CEV II); 1861 (CENTRAP y REDMUNORCA); Procuraduría II (16,491); 8172 (Convocatoria de Víctimas 2); 4480 (JEP 2); 6551 (Despliegue Sistema Integral); 5480 (convocatoria víctimas 2); 2000 (Planes Regionales de Búsqueda); 15873 (CEV III); 59 (27 mujeres y 32 hombres) JEP III; 2087, mujeres y 938 hombres (Planes Regionales de Búsqueda); 8379 (hombres: 4447, Mujeres: 3868)(JEP 3);  4394 mujeres, 4221 hombres (CEV 3); 14.693 mujeres, 9.796 hombres (Convocatoria Legado); 491 hombres, 1274 mujeres(Convocatoria UBPD)  </t>
  </si>
  <si>
    <t>87792 Mujeres; 77006 Hombres</t>
  </si>
  <si>
    <r>
      <rPr>
        <b/>
        <sz val="11"/>
        <color theme="1"/>
        <rFont val="Aptos Narrow"/>
        <family val="2"/>
        <scheme val="minor"/>
      </rPr>
      <t>3.2.2</t>
    </r>
    <r>
      <rPr>
        <sz val="11"/>
        <color theme="1"/>
        <rFont val="Aptos Narrow"/>
        <family val="2"/>
        <scheme val="minor"/>
      </rPr>
      <t xml:space="preserve"> Número de casos entregados a la UBPD para apoyar búsqueda, ubicación, identificación y entrega digna de personas dadas por desaparecidas </t>
    </r>
  </si>
  <si>
    <t>(Conv búsqueda) 737</t>
  </si>
  <si>
    <t>Ventana SC (641), Fortalecimiento Org, de Desaparición Forzada (700); 198 (Convocatoria de Víctimas 2); 271 (Planes Regionales de Búsqueda); 188 (Conv búsqueda)</t>
  </si>
  <si>
    <r>
      <rPr>
        <b/>
        <sz val="11"/>
        <color theme="1"/>
        <rFont val="Aptos Narrow"/>
        <family val="2"/>
        <scheme val="minor"/>
      </rPr>
      <t>3.2.3</t>
    </r>
    <r>
      <rPr>
        <sz val="11"/>
        <color theme="1"/>
        <rFont val="Aptos Narrow"/>
        <family val="2"/>
        <scheme val="minor"/>
      </rPr>
      <t xml:space="preserve"> Número de líneas estratégicas de cooperación que apoyan el trabajo de la JEP, CEV y UBPD con el fin de avanzar hacia la verdad, justicia, reparación y no repetición</t>
    </r>
  </si>
  <si>
    <t xml:space="preserve"> 3 líneas de trabajo CEV; 4 estrategias de cooperación que apoyan el trabajo de la JEP, CEV y UBPD (Fortalecimiento PGN); 3 líneas (Despliegue del Sistema Integral: pedagogía, despliegue territorial, audiencias públicas); 2 líneas (Convocatoria víctimas 2: pedagogía, entrega de informes a las instancias); 4(Planes Regionales de Búsqueda)</t>
  </si>
  <si>
    <t>3 CEV, 5 JEP, 5 UBPD y 3 SIVJRNR</t>
  </si>
  <si>
    <r>
      <rPr>
        <b/>
        <sz val="11"/>
        <color theme="1"/>
        <rFont val="Aptos Narrow"/>
        <family val="2"/>
        <scheme val="minor"/>
      </rPr>
      <t xml:space="preserve">3.2.2 </t>
    </r>
    <r>
      <rPr>
        <sz val="11"/>
        <color theme="1"/>
        <rFont val="Aptos Narrow"/>
        <family val="2"/>
        <scheme val="minor"/>
      </rPr>
      <t xml:space="preserve">Numero de macrocasos del sistema restaurativo de la JEP apoyadas por el fondo. </t>
    </r>
  </si>
  <si>
    <t>10 de los 11 macro casos de la JEP han sido apoyados por proyectos del Fondo (JEP 1,2,3; Procuraduría, Convocatoria de Víctimas 2)</t>
  </si>
  <si>
    <r>
      <rPr>
        <b/>
        <sz val="11"/>
        <color theme="1"/>
        <rFont val="Aptos Narrow"/>
        <family val="2"/>
        <scheme val="minor"/>
      </rPr>
      <t>3.2.3</t>
    </r>
    <r>
      <rPr>
        <sz val="11"/>
        <color theme="1"/>
        <rFont val="Aptos Narrow"/>
        <family val="2"/>
        <scheme val="minor"/>
      </rPr>
      <t xml:space="preserve"> Número de casos entregados a la UBPD para apoyar búsqueda, ubicación, identificación y entrega digna de personas dadas por desaparecidas.</t>
    </r>
  </si>
  <si>
    <t>2.735 (Apoyo a organizaciones de búsqueda, convocatorias de víctimas 1 y 2; Fortalecimiento a la UBPD, Convocatoria en apoyo a la UBPD)</t>
  </si>
  <si>
    <r>
      <rPr>
        <b/>
        <sz val="11"/>
        <color theme="1"/>
        <rFont val="Aptos Narrow"/>
        <family val="2"/>
        <scheme val="minor"/>
      </rPr>
      <t>3.2.5</t>
    </r>
    <r>
      <rPr>
        <sz val="11"/>
        <color theme="1"/>
        <rFont val="Aptos Narrow"/>
        <family val="2"/>
        <scheme val="minor"/>
      </rPr>
      <t xml:space="preserve"> Numero de iniciativas que promueven la implementación de las recomendaciones del informe de la Comision de la Verdad.</t>
    </r>
  </si>
  <si>
    <t>(1 CEV II, 10 CEV III, 17 Convocatoria legado CEV, 1 proyecto memoria)</t>
  </si>
  <si>
    <r>
      <rPr>
        <b/>
        <sz val="11"/>
        <color theme="1"/>
        <rFont val="Aptos Narrow"/>
        <family val="2"/>
        <scheme val="minor"/>
      </rPr>
      <t xml:space="preserve">3.2.6 </t>
    </r>
    <r>
      <rPr>
        <sz val="11"/>
        <color theme="1"/>
        <rFont val="Aptos Narrow"/>
        <family val="2"/>
        <scheme val="minor"/>
      </rPr>
      <t>Numero de planes de busqueda regional apoyados por el fondo.</t>
    </r>
  </si>
  <si>
    <t>4 (proyecto Planes Regionales de Búsqueda); XX (Convocatoria PRB)</t>
  </si>
  <si>
    <t>Número de personas víctimas de crímenes de Estado que han apoyado la búsqueda</t>
  </si>
  <si>
    <t>(Conv búsqueda) 460</t>
  </si>
  <si>
    <r>
      <rPr>
        <b/>
        <sz val="11"/>
        <color rgb="FF000000"/>
        <rFont val="Aptos Narrow"/>
        <scheme val="minor"/>
      </rPr>
      <t>G.3.1.1</t>
    </r>
    <r>
      <rPr>
        <sz val="11"/>
        <color rgb="FF000000"/>
        <rFont val="Aptos Narrow"/>
        <scheme val="minor"/>
      </rPr>
      <t xml:space="preserve"> Número de mujeres víctimas con atención y/o acompañamiento psicosocial para la recuperación emocional de acuerdo a la línea de atención diferenciada a mujeres y grupos étnicos</t>
    </r>
  </si>
  <si>
    <t>280 mujeres, 298 hombres (JEP 3); 2291 (Conv UBPD)</t>
  </si>
  <si>
    <t xml:space="preserve">Reparaciones individuales (18.511); Reparaciones Colectivas (650); Convocatoria de Víctimas (9,175);  Salida de NNA I y II (67); 760 (Apoyo a la CEV); 16.451 de 5 organizaciones sociales y de mujeres apoyadas técnicamente  en la presentación de informes ante la JEP: (COCOMACIA, AMUDH, Madres de la Candelaria, Red de Mujeres del Catatumbo, ASOVIDA) (Fortalecimiento PGN); 1378 (Convocatoria Víctimas 1); 578 (convocatoria vícitimas 2); Planes Regionales de Búsqueda (382); 404 mujeres, 338 hombres (JEP 3); 4052 (Conv legado);169 (Conv UBPD) </t>
  </si>
  <si>
    <t>ÁMBITO 4: COMUNICACIÓN</t>
  </si>
  <si>
    <r>
      <rPr>
        <b/>
        <sz val="11"/>
        <color theme="1"/>
        <rFont val="Aptos Narrow"/>
        <family val="2"/>
        <scheme val="minor"/>
      </rPr>
      <t>4.1</t>
    </r>
    <r>
      <rPr>
        <sz val="11"/>
        <color theme="1"/>
        <rFont val="Aptos Narrow"/>
        <family val="2"/>
        <scheme val="minor"/>
      </rPr>
      <t xml:space="preserve"> Percepción de los habitantes en municipios PDET sobre la implementación de los acuerdos de paz</t>
    </r>
  </si>
  <si>
    <t>Que tan satisfecho está con la  implementacón del Acuerdo: nada satisfecho 58%, algo satisfecho 30%, satisfecho 10%.</t>
  </si>
  <si>
    <t>1. Aumento en la satisfacción con la implementación del Acuerdo: 2019: 36% - 2021:48%
2. Factores asociados al incremento en la satisfacción con el Acuerdo: Mejor o igual seguridad municipal, aumento de bienes comunitarios, confía en instituciones del Estado. 
Que tan satisfecho está con la implementacón del Acuerdo: Sur del Tolima: mayor grado de satisfacción, Cuenca del caguán y pidemonte caqueteño, Pacífico y frontera nariñense y Putumayo: menor grado de satisfacción.</t>
  </si>
  <si>
    <t>Que tan satisfecho está con la implementacón del Acuerdo: Sur del Tolima: mayor grado de satisfacción, Cuenca del caguán y pidemonte caqueteño, Pacífico y frontera nariñense y Putumayo: menor grado de satisfacción.</t>
  </si>
  <si>
    <t>Resultado 4.1: Comunicados de forma eficaz y transparente los avances en la implementación, las dinámicas de construcción de paz y las situaciones de los territorios, reduciendo así el impacto de mensajes desestabilizadores y fomentando una cultura de paz y reconciliación.</t>
  </si>
  <si>
    <r>
      <rPr>
        <b/>
        <sz val="11"/>
        <color theme="1"/>
        <rFont val="Aptos Narrow"/>
        <family val="2"/>
        <scheme val="minor"/>
      </rPr>
      <t xml:space="preserve">4.1.1 </t>
    </r>
    <r>
      <rPr>
        <sz val="11"/>
        <color theme="1"/>
        <rFont val="Aptos Narrow"/>
        <family val="2"/>
        <scheme val="minor"/>
      </rPr>
      <t>Número de informes de seguimiento a la implementación del Acuerdo Final publicados por las organizaciones de seguimiento y verificación apoyadas por el Fondo</t>
    </r>
  </si>
  <si>
    <t>23 (IEANPE 2)</t>
  </si>
  <si>
    <t xml:space="preserve">Iniciativa Barometro; STCIV y Fortalecimiento CSIVI; Barómetro (9); IAENPE (2); CEPDIPO IV (1); ST SCIVI (12) </t>
  </si>
  <si>
    <t xml:space="preserve">39 Informes comprensivos sobre el avance en la implentación (Barómetro, STCIV, CEPDIPO); 3 informes especializados de seguimiento al enfoque étnico; 30 briefs confidenciales orales y más de 200 reportes orales. 6 grandes memorias y 26 reportes de actualización (STCIV); 56 informes (entre libros y documentos de trabajo); </t>
  </si>
  <si>
    <r>
      <rPr>
        <b/>
        <sz val="11"/>
        <color theme="1"/>
        <rFont val="Aptos Narrow"/>
        <family val="2"/>
        <scheme val="minor"/>
      </rPr>
      <t>4.1.2</t>
    </r>
    <r>
      <rPr>
        <sz val="11"/>
        <color theme="1"/>
        <rFont val="Aptos Narrow"/>
        <family val="2"/>
        <scheme val="minor"/>
      </rPr>
      <t xml:space="preserve"> Número de espacios de socialización y discusión sobre el avance en la implementación del Acuerdo Final generados en el marco de proyectos financiados por el Fondo</t>
    </r>
  </si>
  <si>
    <t>29 IEANPE 2; 124 (Conv Comunicaciones)</t>
  </si>
  <si>
    <t>STCIV, Fortalecimiento CSIVI, Instancia de Género</t>
  </si>
  <si>
    <t xml:space="preserve">271 espacios de socialización y divulgación; 57 espacios de diálogo técnico con actores estratégicos; 13 encuentros virtuales con mujeres
(nacionales e internacionales)
5 Espacios de socialización territoriales </t>
  </si>
  <si>
    <r>
      <rPr>
        <b/>
        <sz val="11"/>
        <color theme="1"/>
        <rFont val="Aptos Narrow"/>
        <family val="2"/>
        <scheme val="minor"/>
      </rPr>
      <t>4.1.3</t>
    </r>
    <r>
      <rPr>
        <sz val="11"/>
        <color theme="1"/>
        <rFont val="Aptos Narrow"/>
        <family val="2"/>
        <scheme val="minor"/>
      </rPr>
      <t xml:space="preserve"> Número de iniciativas de participación y de divulgación de información a través de medios de comunicación comunitarios promovidas y apoyadas por el Fondo.</t>
    </r>
  </si>
  <si>
    <t>52 (Conv Comunicaciones)</t>
  </si>
  <si>
    <t>18 publicaciones realizadas (Instancia de Género); 23 referencias públicas al séptimo informe de verificación (STCIV); 29 espacios (Fortalecimiento CSIVI): 363 (Desspliegue Sistema Integral para la Paz)</t>
  </si>
  <si>
    <t>G.4.1.1 Número de informes especializados sobre la implementación y/o transversalización del enfoque de género del Acuerdo Final publicados.</t>
  </si>
  <si>
    <t>2 (cov comunicaciones)</t>
  </si>
  <si>
    <t>Informe final</t>
  </si>
  <si>
    <t>Iniciativa Barómetro (1), Notables (3)</t>
  </si>
  <si>
    <t>Abr-19</t>
  </si>
  <si>
    <t>81 (Fortalecimiento CSIVI); 5 (STCIV)</t>
  </si>
  <si>
    <t>Instancia de Género (33)</t>
  </si>
  <si>
    <t xml:space="preserve">G.4.1.2 Apoyo al establecimiento y puesta en marcha de la Instancia Especial de Mujeres </t>
  </si>
  <si>
    <t>Instancia de Género</t>
  </si>
  <si>
    <t xml:space="preserve">100% apoyo pleno a su conformación, sostenibilidad y elección de la segunda composición de la Instancia
Apoyo a la elección de las nuevas integrantes de la Instancia  </t>
  </si>
  <si>
    <t xml:space="preserve">ÁMBITO 5: MAS ALLÁ DEL ACUERDO </t>
  </si>
  <si>
    <t>5.1 Percepción de la sociedad civil frente a las negociaciones con grupos armados organizados al margen de la ley, y los acercamientos y conversaciones con grupos armados organizados o estructuras armadas organizadas de crimen de alto impacto.</t>
  </si>
  <si>
    <t xml:space="preserve">MAPS </t>
  </si>
  <si>
    <t>Las personas que se sienten satisfechas con la implementación del Acuerdo están mayoritariamente inclinadas a pensar que también se logrará un acuerdo de paz con el ELN (53,3%). El 82.1% de los ciudadanos considera que la salida negociada es la mejor opción para resolver el conflicto con grupos criminales (a diferencia del 52.5% en las ciudades principales): Zonas PDET 82,1% Vs. ciudades principales 52,5%, Subregiones PDET con mayor aceptación a salida negociada: Arauca, Catatumbo y Chocó. Subregiones PDET con menor aceptación a salida negociada: Sierra Nevada, Sur de Tolima y Pacífico Medio</t>
  </si>
  <si>
    <t>MAPS</t>
  </si>
  <si>
    <t>5.1 Apoyar la implementación temprana de los acuerdos parciales establecidos en las mesas de negociación con el ELN (Ejército de Liberación Nacional) y otros actores armados, con el fin de generar confianza con las comunidades en los territorios.</t>
  </si>
  <si>
    <t xml:space="preserve">La salida negociada en los territorios PDET (82,1%), contrasta con el (38,1%) de las ciudades que prefieren la opción del uso de la fuerza militar o policial. 49,2% considera que no se logrará un acuerdo, frente al 39,9% que si considera que se logrará Un Acuerdo con el ELN. En las ciudades es mayor el pesimismo (60,4%). Si en las actuales negociaciones entre el Gobierno Nacional y el ELN se abrieran espacios para la participación ciudadana, ¿en que preferiría participar?. Sólo el 35.5% en las zonas PDET estaría interesado, mientras que el 62.9% en las ciudades (sumatoria de categorías). </t>
  </si>
  <si>
    <r>
      <t xml:space="preserve">5.1.1 </t>
    </r>
    <r>
      <rPr>
        <sz val="11"/>
        <color theme="1"/>
        <rFont val="Aptos Narrow"/>
        <family val="2"/>
        <scheme val="minor"/>
      </rPr>
      <t>Número de acciones tempranas apoyadas en el marco de las negociaciones con grupos armados organizados al margen de la ley, y los acercamientos y conversaciones con grupos armados organizados o estructuras armadas organizadas de crimen de alto impacto.</t>
    </r>
  </si>
  <si>
    <t>FICONPAZ (1) Alertas tempranas
Reporte de incidentes
Reporte de cese al
fuego territorial</t>
  </si>
  <si>
    <t>1 (FICONPAZ - Alertas tempranas, Reporte de incidentes, Reporte de cese al fuego territorial)</t>
  </si>
  <si>
    <r>
      <rPr>
        <b/>
        <sz val="11"/>
        <color theme="1"/>
        <rFont val="Aptos Narrow"/>
        <family val="2"/>
        <scheme val="minor"/>
      </rPr>
      <t xml:space="preserve">5.1.2 </t>
    </r>
    <r>
      <rPr>
        <sz val="11"/>
        <color theme="1"/>
        <rFont val="Aptos Narrow"/>
        <family val="2"/>
        <scheme val="minor"/>
      </rPr>
      <t>Número de acciones de alistamiento acompañadas en el marco de las negociaciones con grupos armados organizados al margen de la ley, y los acercamientos y conversaciones con grupos armados organizados o estructuras armadas organizadas de crimen de alto impacto.</t>
    </r>
  </si>
  <si>
    <t>1 (FICONPAZ - 31 delegados del MMV capacitados en enfoque de género en el marco del cese al fuego)</t>
  </si>
  <si>
    <r>
      <rPr>
        <b/>
        <sz val="11"/>
        <color theme="1"/>
        <rFont val="Aptos Narrow"/>
        <family val="2"/>
        <scheme val="minor"/>
      </rPr>
      <t xml:space="preserve">G.5.1.1 </t>
    </r>
    <r>
      <rPr>
        <sz val="11"/>
        <color theme="1"/>
        <rFont val="Aptos Narrow"/>
        <family val="2"/>
        <scheme val="minor"/>
      </rPr>
      <t>Número de acciones que vinculan la agenda de Mujeres, Paz y Seguridad con los nuevos diálogos de paz.</t>
    </r>
  </si>
  <si>
    <t>1 FICONPAZ (Informe de MMV con reporte de aportes de las mujeres y grupos de LGTBIQ+ al cese al fuego)</t>
  </si>
  <si>
    <r>
      <rPr>
        <b/>
        <sz val="11"/>
        <color theme="1"/>
        <rFont val="Aptos Narrow"/>
        <family val="2"/>
        <scheme val="minor"/>
      </rPr>
      <t xml:space="preserve">5.2.3 </t>
    </r>
    <r>
      <rPr>
        <sz val="11"/>
        <color theme="1"/>
        <rFont val="Aptos Narrow"/>
        <family val="2"/>
        <scheme val="minor"/>
      </rPr>
      <t>Número de iniciativas que promueven la participación de la sociedad civil en los nuevos diálogos (Espacio Nacional de Consulta Previa con comunidades Negras, Afrocolombianas, Raizales y Palenqueras, Mesa Regional Amazonica y Mesa Regional Amazonica).</t>
    </r>
  </si>
  <si>
    <t>18 espacios seguros promovidos por laIglesia para escuchar a las comunidades, se convocó a los 31 MMV, abarcando las 9 instancias regionales y
las 22 locales</t>
  </si>
  <si>
    <t>5.3 Fortalecer las capacidades institucionales y apoyar con elaboración de insumos para las negociaciones de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</si>
</sst>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color rgb="FF000000"/>
      <name val="Aptos Narrow"/>
      <scheme val="minor"/>
    </font>
    <font>
      <b/>
      <sz val="18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0" fillId="2" borderId="0" xfId="0" applyFill="1"/>
    <xf numFmtId="0" fontId="4" fillId="8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17" fontId="0" fillId="8" borderId="2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left" vertical="center" wrapText="1"/>
    </xf>
    <xf numFmtId="0" fontId="0" fillId="10" borderId="10" xfId="0" applyFill="1" applyBorder="1" applyAlignment="1">
      <alignment horizontal="left" vertical="center" wrapText="1"/>
    </xf>
    <xf numFmtId="0" fontId="4" fillId="2" borderId="0" xfId="0" applyFont="1" applyFill="1"/>
    <xf numFmtId="0" fontId="4" fillId="8" borderId="2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right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0" fontId="4" fillId="8" borderId="3" xfId="0" applyFont="1" applyFill="1" applyBorder="1" applyAlignment="1">
      <alignment vertical="center" wrapText="1"/>
    </xf>
    <xf numFmtId="0" fontId="0" fillId="12" borderId="1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8" borderId="2" xfId="0" applyFill="1" applyBorder="1" applyAlignment="1">
      <alignment vertical="center"/>
    </xf>
    <xf numFmtId="0" fontId="0" fillId="8" borderId="2" xfId="0" applyFill="1" applyBorder="1" applyAlignment="1">
      <alignment horizontal="right" vertical="center" wrapText="1"/>
    </xf>
    <xf numFmtId="0" fontId="0" fillId="8" borderId="2" xfId="0" applyFill="1" applyBorder="1" applyAlignment="1">
      <alignment vertical="center" wrapText="1"/>
    </xf>
    <xf numFmtId="0" fontId="0" fillId="8" borderId="3" xfId="0" applyFill="1" applyBorder="1"/>
    <xf numFmtId="0" fontId="0" fillId="2" borderId="0" xfId="0" applyFill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8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4" borderId="2" xfId="0" applyFill="1" applyBorder="1" applyAlignment="1">
      <alignment horizontal="right" vertical="center" wrapText="1"/>
    </xf>
    <xf numFmtId="0" fontId="0" fillId="4" borderId="3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17" fontId="0" fillId="4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/>
    </xf>
    <xf numFmtId="0" fontId="0" fillId="12" borderId="10" xfId="0" applyFill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vertical="top" wrapText="1"/>
    </xf>
    <xf numFmtId="0" fontId="0" fillId="8" borderId="7" xfId="0" applyFill="1" applyBorder="1" applyAlignment="1">
      <alignment vertical="center" wrapText="1"/>
    </xf>
    <xf numFmtId="0" fontId="0" fillId="8" borderId="7" xfId="0" applyFill="1" applyBorder="1" applyAlignment="1">
      <alignment horizontal="right" vertical="center" wrapText="1"/>
    </xf>
    <xf numFmtId="0" fontId="0" fillId="8" borderId="8" xfId="0" applyFill="1" applyBorder="1"/>
    <xf numFmtId="0" fontId="0" fillId="4" borderId="0" xfId="0" applyFill="1"/>
    <xf numFmtId="0" fontId="0" fillId="10" borderId="14" xfId="0" applyFill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8" borderId="16" xfId="0" applyFill="1" applyBorder="1" applyAlignment="1">
      <alignment horizontal="right" vertical="center" wrapText="1"/>
    </xf>
    <xf numFmtId="0" fontId="0" fillId="8" borderId="16" xfId="0" applyFill="1" applyBorder="1" applyAlignment="1">
      <alignment vertical="center" wrapText="1"/>
    </xf>
    <xf numFmtId="0" fontId="0" fillId="8" borderId="17" xfId="0" applyFill="1" applyBorder="1" applyAlignment="1">
      <alignment wrapText="1"/>
    </xf>
    <xf numFmtId="0" fontId="0" fillId="10" borderId="2" xfId="0" applyFill="1" applyBorder="1" applyAlignment="1">
      <alignment horizontal="right" vertical="center" wrapText="1"/>
    </xf>
    <xf numFmtId="17" fontId="0" fillId="8" borderId="2" xfId="0" applyNumberFormat="1" applyFill="1" applyBorder="1" applyAlignment="1">
      <alignment horizontal="center" vertical="center" wrapText="1"/>
    </xf>
    <xf numFmtId="0" fontId="0" fillId="8" borderId="3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0" fillId="8" borderId="2" xfId="0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/>
    </xf>
    <xf numFmtId="0" fontId="0" fillId="13" borderId="0" xfId="0" applyFill="1"/>
    <xf numFmtId="0" fontId="0" fillId="13" borderId="2" xfId="0" applyFill="1" applyBorder="1" applyAlignment="1">
      <alignment horizontal="left" vertical="center" wrapText="1"/>
    </xf>
    <xf numFmtId="0" fontId="0" fillId="13" borderId="2" xfId="0" applyFill="1" applyBorder="1" applyAlignment="1">
      <alignment horizontal="center" vertical="center"/>
    </xf>
    <xf numFmtId="17" fontId="0" fillId="13" borderId="2" xfId="0" applyNumberFormat="1" applyFill="1" applyBorder="1" applyAlignment="1">
      <alignment horizontal="center" vertical="center" wrapText="1"/>
    </xf>
    <xf numFmtId="0" fontId="0" fillId="13" borderId="3" xfId="0" applyFill="1" applyBorder="1" applyAlignment="1">
      <alignment wrapText="1"/>
    </xf>
    <xf numFmtId="0" fontId="4" fillId="8" borderId="17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0" fillId="0" borderId="2" xfId="0" applyBorder="1" applyAlignment="1">
      <alignment wrapText="1"/>
    </xf>
    <xf numFmtId="165" fontId="0" fillId="8" borderId="2" xfId="1" applyNumberFormat="1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8" borderId="16" xfId="0" applyFont="1" applyFill="1" applyBorder="1" applyAlignment="1">
      <alignment horizontal="right" vertical="center" wrapText="1"/>
    </xf>
    <xf numFmtId="0" fontId="4" fillId="8" borderId="17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0" fontId="4" fillId="12" borderId="1" xfId="0" applyFont="1" applyFill="1" applyBorder="1" applyAlignment="1">
      <alignment horizontal="left" vertical="center" wrapText="1"/>
    </xf>
    <xf numFmtId="9" fontId="0" fillId="0" borderId="2" xfId="0" applyNumberFormat="1" applyBorder="1" applyAlignment="1">
      <alignment horizontal="left" vertical="center" wrapText="1"/>
    </xf>
    <xf numFmtId="9" fontId="0" fillId="0" borderId="2" xfId="0" applyNumberFormat="1" applyBorder="1" applyAlignment="1">
      <alignment horizontal="right" vertical="center" wrapText="1"/>
    </xf>
    <xf numFmtId="0" fontId="0" fillId="2" borderId="0" xfId="0" applyFill="1" applyAlignment="1">
      <alignment horizontal="right" vertical="center"/>
    </xf>
    <xf numFmtId="165" fontId="0" fillId="0" borderId="2" xfId="1" applyNumberFormat="1" applyFont="1" applyBorder="1" applyAlignment="1">
      <alignment horizontal="right" vertical="center" wrapText="1"/>
    </xf>
    <xf numFmtId="165" fontId="0" fillId="8" borderId="2" xfId="1" applyNumberFormat="1" applyFont="1" applyFill="1" applyBorder="1" applyAlignment="1">
      <alignment horizontal="right" vertical="center" wrapText="1"/>
    </xf>
    <xf numFmtId="17" fontId="0" fillId="8" borderId="2" xfId="0" applyNumberFormat="1" applyFill="1" applyBorder="1" applyAlignment="1">
      <alignment horizontal="right" vertical="center" wrapText="1"/>
    </xf>
    <xf numFmtId="0" fontId="0" fillId="8" borderId="3" xfId="0" applyFill="1" applyBorder="1" applyAlignment="1">
      <alignment horizontal="right" vertical="center"/>
    </xf>
    <xf numFmtId="0" fontId="0" fillId="8" borderId="2" xfId="0" applyFill="1" applyBorder="1" applyAlignment="1">
      <alignment horizontal="right" vertical="center"/>
    </xf>
    <xf numFmtId="165" fontId="0" fillId="0" borderId="11" xfId="1" applyNumberFormat="1" applyFont="1" applyBorder="1" applyAlignment="1">
      <alignment horizontal="right" vertical="center" wrapText="1"/>
    </xf>
    <xf numFmtId="9" fontId="0" fillId="0" borderId="7" xfId="0" applyNumberFormat="1" applyBorder="1" applyAlignment="1">
      <alignment horizontal="right" vertical="center" wrapText="1"/>
    </xf>
    <xf numFmtId="0" fontId="0" fillId="0" borderId="7" xfId="0" applyBorder="1" applyAlignment="1">
      <alignment wrapText="1"/>
    </xf>
    <xf numFmtId="9" fontId="1" fillId="8" borderId="7" xfId="2" applyFont="1" applyFill="1" applyBorder="1" applyAlignment="1">
      <alignment horizontal="right" vertical="center"/>
    </xf>
    <xf numFmtId="17" fontId="0" fillId="8" borderId="7" xfId="0" applyNumberFormat="1" applyFill="1" applyBorder="1" applyAlignment="1">
      <alignment horizontal="center" vertical="center" wrapText="1"/>
    </xf>
    <xf numFmtId="165" fontId="0" fillId="8" borderId="8" xfId="1" applyNumberFormat="1" applyFont="1" applyFill="1" applyBorder="1" applyAlignment="1">
      <alignment horizontal="right" vertical="center" wrapText="1"/>
    </xf>
    <xf numFmtId="0" fontId="0" fillId="15" borderId="5" xfId="0" applyFill="1" applyBorder="1"/>
    <xf numFmtId="0" fontId="0" fillId="15" borderId="2" xfId="0" applyFill="1" applyBorder="1" applyAlignment="1">
      <alignment horizontal="right" vertical="center" wrapText="1"/>
    </xf>
    <xf numFmtId="17" fontId="0" fillId="15" borderId="2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9" fontId="1" fillId="8" borderId="16" xfId="2" applyFont="1" applyFill="1" applyBorder="1" applyAlignment="1">
      <alignment horizontal="right" vertical="center"/>
    </xf>
    <xf numFmtId="17" fontId="0" fillId="8" borderId="16" xfId="0" applyNumberFormat="1" applyFill="1" applyBorder="1" applyAlignment="1">
      <alignment horizontal="center" vertical="center" wrapText="1"/>
    </xf>
    <xf numFmtId="165" fontId="0" fillId="8" borderId="17" xfId="1" applyNumberFormat="1" applyFont="1" applyFill="1" applyBorder="1" applyAlignment="1">
      <alignment horizontal="right" vertical="center" wrapText="1"/>
    </xf>
    <xf numFmtId="9" fontId="1" fillId="8" borderId="2" xfId="2" applyFont="1" applyFill="1" applyBorder="1" applyAlignment="1">
      <alignment horizontal="right" vertical="center"/>
    </xf>
    <xf numFmtId="165" fontId="0" fillId="8" borderId="3" xfId="1" applyNumberFormat="1" applyFont="1" applyFill="1" applyBorder="1" applyAlignment="1">
      <alignment horizontal="right" vertical="center" wrapText="1"/>
    </xf>
    <xf numFmtId="0" fontId="0" fillId="5" borderId="0" xfId="0" applyFill="1"/>
    <xf numFmtId="0" fontId="0" fillId="5" borderId="2" xfId="0" applyFill="1" applyBorder="1" applyAlignment="1">
      <alignment horizontal="right" vertical="center" wrapText="1"/>
    </xf>
    <xf numFmtId="17" fontId="0" fillId="5" borderId="2" xfId="0" applyNumberFormat="1" applyFill="1" applyBorder="1" applyAlignment="1">
      <alignment horizontal="center" vertical="center" wrapText="1"/>
    </xf>
    <xf numFmtId="165" fontId="0" fillId="5" borderId="3" xfId="1" applyNumberFormat="1" applyFont="1" applyFill="1" applyBorder="1" applyAlignment="1">
      <alignment horizontal="right" vertical="center" wrapText="1"/>
    </xf>
    <xf numFmtId="1" fontId="0" fillId="0" borderId="2" xfId="0" applyNumberFormat="1" applyBorder="1" applyAlignment="1">
      <alignment horizontal="right" vertical="center" wrapText="1"/>
    </xf>
    <xf numFmtId="0" fontId="0" fillId="14" borderId="2" xfId="0" applyFill="1" applyBorder="1" applyAlignment="1">
      <alignment horizontal="right" vertical="center" wrapText="1"/>
    </xf>
    <xf numFmtId="17" fontId="0" fillId="14" borderId="2" xfId="0" applyNumberFormat="1" applyFill="1" applyBorder="1" applyAlignment="1">
      <alignment horizontal="center" vertical="center" wrapText="1"/>
    </xf>
    <xf numFmtId="165" fontId="0" fillId="14" borderId="3" xfId="1" applyNumberFormat="1" applyFont="1" applyFill="1" applyBorder="1" applyAlignment="1">
      <alignment horizontal="right" vertical="center" wrapText="1"/>
    </xf>
    <xf numFmtId="0" fontId="0" fillId="14" borderId="0" xfId="0" applyFill="1"/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right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vertical="center" wrapText="1"/>
    </xf>
    <xf numFmtId="9" fontId="0" fillId="8" borderId="2" xfId="0" applyNumberForma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right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wrapText="1"/>
    </xf>
    <xf numFmtId="0" fontId="8" fillId="4" borderId="2" xfId="0" applyFont="1" applyFill="1" applyBorder="1" applyAlignment="1">
      <alignment vertical="center" wrapText="1"/>
    </xf>
    <xf numFmtId="0" fontId="0" fillId="13" borderId="2" xfId="0" applyFill="1" applyBorder="1" applyAlignment="1">
      <alignment horizontal="right" wrapText="1"/>
    </xf>
    <xf numFmtId="0" fontId="4" fillId="4" borderId="0" xfId="0" applyFont="1" applyFill="1"/>
    <xf numFmtId="0" fontId="4" fillId="4" borderId="3" xfId="0" applyFont="1" applyFill="1" applyBorder="1" applyAlignment="1">
      <alignment horizontal="left" vertical="center" wrapText="1"/>
    </xf>
    <xf numFmtId="0" fontId="0" fillId="8" borderId="3" xfId="0" applyFill="1" applyBorder="1" applyAlignment="1">
      <alignment vertical="top" wrapText="1"/>
    </xf>
    <xf numFmtId="0" fontId="0" fillId="12" borderId="4" xfId="0" applyFill="1" applyBorder="1" applyAlignment="1">
      <alignment horizontal="left" vertical="center" wrapText="1"/>
    </xf>
    <xf numFmtId="0" fontId="0" fillId="4" borderId="3" xfId="0" applyFill="1" applyBorder="1"/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0" fillId="10" borderId="9" xfId="0" applyFill="1" applyBorder="1" applyAlignment="1">
      <alignment vertical="center" wrapText="1"/>
    </xf>
    <xf numFmtId="0" fontId="0" fillId="10" borderId="7" xfId="0" applyFill="1" applyBorder="1" applyAlignment="1">
      <alignment vertical="center" wrapText="1"/>
    </xf>
    <xf numFmtId="0" fontId="0" fillId="10" borderId="13" xfId="0" applyFill="1" applyBorder="1" applyAlignment="1">
      <alignment vertical="center" wrapText="1"/>
    </xf>
    <xf numFmtId="0" fontId="0" fillId="10" borderId="4" xfId="0" applyFill="1" applyBorder="1" applyAlignment="1">
      <alignment horizontal="left" vertical="center" wrapText="1"/>
    </xf>
    <xf numFmtId="3" fontId="0" fillId="8" borderId="2" xfId="0" applyNumberForma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12" fillId="10" borderId="9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vertical="center"/>
    </xf>
    <xf numFmtId="0" fontId="4" fillId="8" borderId="3" xfId="0" applyFont="1" applyFill="1" applyBorder="1" applyAlignment="1">
      <alignment wrapText="1"/>
    </xf>
    <xf numFmtId="0" fontId="0" fillId="10" borderId="9" xfId="0" applyFill="1" applyBorder="1" applyAlignment="1">
      <alignment horizontal="left" vertical="center" wrapText="1"/>
    </xf>
    <xf numFmtId="0" fontId="0" fillId="4" borderId="7" xfId="0" applyFill="1" applyBorder="1" applyAlignment="1">
      <alignment vertical="center" wrapText="1"/>
    </xf>
    <xf numFmtId="0" fontId="12" fillId="10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0" fillId="8" borderId="3" xfId="0" applyNumberFormat="1" applyFill="1" applyBorder="1" applyAlignment="1">
      <alignment horizontal="center" vertical="center" wrapText="1"/>
    </xf>
    <xf numFmtId="0" fontId="0" fillId="8" borderId="8" xfId="0" applyFill="1" applyBorder="1" applyAlignment="1">
      <alignment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0" fontId="0" fillId="8" borderId="2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4" fillId="8" borderId="14" xfId="0" applyFont="1" applyFill="1" applyBorder="1" applyAlignment="1">
      <alignment horizontal="left" vertical="center" wrapText="1"/>
    </xf>
    <xf numFmtId="0" fontId="0" fillId="10" borderId="7" xfId="0" applyFill="1" applyBorder="1" applyAlignment="1">
      <alignment horizontal="left" vertical="center" wrapText="1"/>
    </xf>
    <xf numFmtId="0" fontId="0" fillId="16" borderId="1" xfId="0" applyFill="1" applyBorder="1" applyAlignment="1">
      <alignment horizontal="left" vertical="center" wrapText="1"/>
    </xf>
    <xf numFmtId="0" fontId="0" fillId="16" borderId="6" xfId="0" applyFill="1" applyBorder="1" applyAlignment="1">
      <alignment horizontal="left" vertical="center" wrapText="1"/>
    </xf>
    <xf numFmtId="0" fontId="0" fillId="16" borderId="2" xfId="0" applyFill="1" applyBorder="1" applyAlignment="1">
      <alignment vertical="center" wrapText="1"/>
    </xf>
    <xf numFmtId="0" fontId="0" fillId="16" borderId="2" xfId="0" applyFill="1" applyBorder="1" applyAlignment="1">
      <alignment horizontal="left" vertical="center" wrapText="1"/>
    </xf>
    <xf numFmtId="0" fontId="0" fillId="16" borderId="2" xfId="0" applyFill="1" applyBorder="1" applyAlignment="1">
      <alignment horizontal="right" vertical="center" wrapText="1"/>
    </xf>
    <xf numFmtId="0" fontId="0" fillId="16" borderId="2" xfId="0" applyFill="1" applyBorder="1" applyAlignment="1">
      <alignment vertical="top" wrapText="1"/>
    </xf>
    <xf numFmtId="0" fontId="0" fillId="10" borderId="0" xfId="0" applyFill="1"/>
    <xf numFmtId="0" fontId="4" fillId="10" borderId="0" xfId="0" applyFont="1" applyFill="1"/>
    <xf numFmtId="0" fontId="0" fillId="10" borderId="0" xfId="0" applyFill="1" applyAlignment="1">
      <alignment vertical="center"/>
    </xf>
    <xf numFmtId="0" fontId="4" fillId="10" borderId="2" xfId="0" applyFont="1" applyFill="1" applyBorder="1"/>
    <xf numFmtId="0" fontId="0" fillId="10" borderId="2" xfId="0" applyFill="1" applyBorder="1"/>
    <xf numFmtId="0" fontId="0" fillId="10" borderId="0" xfId="0" applyFill="1" applyAlignment="1">
      <alignment horizontal="right" vertical="center"/>
    </xf>
    <xf numFmtId="0" fontId="4" fillId="10" borderId="0" xfId="0" applyFont="1" applyFill="1" applyAlignment="1">
      <alignment vertical="center"/>
    </xf>
    <xf numFmtId="0" fontId="0" fillId="10" borderId="0" xfId="0" applyFill="1" applyAlignment="1">
      <alignment horizontal="center" vertical="center"/>
    </xf>
    <xf numFmtId="0" fontId="0" fillId="16" borderId="7" xfId="0" applyFill="1" applyBorder="1" applyAlignment="1">
      <alignment horizontal="righ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0" fillId="16" borderId="0" xfId="0" applyFill="1"/>
    <xf numFmtId="0" fontId="0" fillId="16" borderId="2" xfId="0" applyFill="1" applyBorder="1" applyAlignment="1">
      <alignment horizontal="center" vertical="center" wrapText="1"/>
    </xf>
    <xf numFmtId="0" fontId="0" fillId="16" borderId="2" xfId="0" applyFill="1" applyBorder="1" applyAlignment="1">
      <alignment wrapText="1"/>
    </xf>
    <xf numFmtId="0" fontId="0" fillId="16" borderId="3" xfId="0" applyFill="1" applyBorder="1" applyAlignment="1">
      <alignment wrapText="1"/>
    </xf>
    <xf numFmtId="0" fontId="0" fillId="16" borderId="2" xfId="0" applyFill="1" applyBorder="1" applyAlignment="1">
      <alignment vertical="center"/>
    </xf>
    <xf numFmtId="165" fontId="0" fillId="16" borderId="2" xfId="1" applyNumberFormat="1" applyFont="1" applyFill="1" applyBorder="1" applyAlignment="1">
      <alignment horizontal="right" vertical="center" wrapText="1"/>
    </xf>
    <xf numFmtId="0" fontId="8" fillId="16" borderId="2" xfId="0" applyFont="1" applyFill="1" applyBorder="1" applyAlignment="1">
      <alignment vertical="center" wrapText="1"/>
    </xf>
    <xf numFmtId="0" fontId="8" fillId="16" borderId="2" xfId="0" applyFont="1" applyFill="1" applyBorder="1" applyAlignment="1">
      <alignment horizontal="right" vertical="center" wrapText="1"/>
    </xf>
    <xf numFmtId="0" fontId="0" fillId="16" borderId="7" xfId="0" applyFill="1" applyBorder="1" applyAlignment="1">
      <alignment vertical="center" wrapText="1"/>
    </xf>
    <xf numFmtId="165" fontId="0" fillId="16" borderId="7" xfId="1" applyNumberFormat="1" applyFont="1" applyFill="1" applyBorder="1" applyAlignment="1">
      <alignment vertical="center" wrapText="1"/>
    </xf>
    <xf numFmtId="0" fontId="0" fillId="16" borderId="2" xfId="0" applyFill="1" applyBorder="1" applyAlignment="1">
      <alignment horizontal="center" vertical="center"/>
    </xf>
    <xf numFmtId="0" fontId="0" fillId="16" borderId="2" xfId="0" applyFill="1" applyBorder="1" applyAlignment="1">
      <alignment horizontal="right"/>
    </xf>
    <xf numFmtId="0" fontId="0" fillId="16" borderId="2" xfId="0" applyFill="1" applyBorder="1" applyAlignment="1">
      <alignment horizontal="center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wrapText="1"/>
    </xf>
    <xf numFmtId="0" fontId="8" fillId="16" borderId="2" xfId="0" applyFont="1" applyFill="1" applyBorder="1" applyAlignment="1">
      <alignment horizontal="right" wrapText="1"/>
    </xf>
    <xf numFmtId="0" fontId="2" fillId="17" borderId="2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left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center"/>
    </xf>
    <xf numFmtId="0" fontId="6" fillId="1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6" fillId="18" borderId="1" xfId="0" applyFont="1" applyFill="1" applyBorder="1" applyAlignment="1">
      <alignment horizontal="left" vertical="center" wrapText="1"/>
    </xf>
    <xf numFmtId="0" fontId="6" fillId="18" borderId="2" xfId="0" applyFont="1" applyFill="1" applyBorder="1" applyAlignment="1">
      <alignment horizontal="left" vertical="center" wrapText="1"/>
    </xf>
    <xf numFmtId="0" fontId="18" fillId="18" borderId="2" xfId="0" applyFont="1" applyFill="1" applyBorder="1" applyAlignment="1">
      <alignment horizontal="left" vertical="center" wrapText="1"/>
    </xf>
    <xf numFmtId="0" fontId="18" fillId="18" borderId="2" xfId="0" applyFont="1" applyFill="1" applyBorder="1" applyAlignment="1">
      <alignment horizontal="right" vertical="center" wrapText="1"/>
    </xf>
    <xf numFmtId="165" fontId="18" fillId="18" borderId="2" xfId="1" applyNumberFormat="1" applyFont="1" applyFill="1" applyBorder="1" applyAlignment="1">
      <alignment horizontal="right" vertical="center" wrapText="1"/>
    </xf>
    <xf numFmtId="9" fontId="18" fillId="18" borderId="2" xfId="0" applyNumberFormat="1" applyFont="1" applyFill="1" applyBorder="1" applyAlignment="1">
      <alignment horizontal="right" vertical="center" wrapText="1"/>
    </xf>
    <xf numFmtId="0" fontId="18" fillId="18" borderId="2" xfId="0" applyFont="1" applyFill="1" applyBorder="1" applyAlignment="1">
      <alignment vertical="center" wrapText="1"/>
    </xf>
    <xf numFmtId="0" fontId="18" fillId="18" borderId="2" xfId="0" applyFont="1" applyFill="1" applyBorder="1" applyAlignment="1">
      <alignment wrapText="1"/>
    </xf>
    <xf numFmtId="9" fontId="18" fillId="18" borderId="2" xfId="2" applyFont="1" applyFill="1" applyBorder="1" applyAlignment="1">
      <alignment horizontal="right" vertical="center"/>
    </xf>
    <xf numFmtId="0" fontId="4" fillId="20" borderId="14" xfId="0" applyFont="1" applyFill="1" applyBorder="1" applyAlignment="1">
      <alignment vertical="center" wrapText="1"/>
    </xf>
    <xf numFmtId="0" fontId="4" fillId="20" borderId="16" xfId="0" applyFont="1" applyFill="1" applyBorder="1" applyAlignment="1">
      <alignment horizontal="left" vertical="center" wrapText="1"/>
    </xf>
    <xf numFmtId="0" fontId="4" fillId="20" borderId="2" xfId="0" applyFont="1" applyFill="1" applyBorder="1" applyAlignment="1">
      <alignment horizontal="left" vertical="center" wrapText="1"/>
    </xf>
    <xf numFmtId="0" fontId="6" fillId="18" borderId="14" xfId="0" applyFont="1" applyFill="1" applyBorder="1" applyAlignment="1">
      <alignment horizontal="left" vertical="center" wrapText="1"/>
    </xf>
    <xf numFmtId="0" fontId="6" fillId="18" borderId="16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0" fontId="8" fillId="8" borderId="2" xfId="0" applyFont="1" applyFill="1" applyBorder="1" applyAlignment="1">
      <alignment horizontal="right" vertical="center" wrapText="1"/>
    </xf>
    <xf numFmtId="0" fontId="18" fillId="18" borderId="2" xfId="0" applyFont="1" applyFill="1" applyBorder="1" applyAlignment="1">
      <alignment vertical="center"/>
    </xf>
    <xf numFmtId="0" fontId="0" fillId="4" borderId="5" xfId="0" applyFill="1" applyBorder="1"/>
    <xf numFmtId="0" fontId="4" fillId="2" borderId="5" xfId="0" applyFont="1" applyFill="1" applyBorder="1"/>
    <xf numFmtId="0" fontId="16" fillId="17" borderId="21" xfId="0" applyFont="1" applyFill="1" applyBorder="1" applyAlignment="1">
      <alignment horizontal="center" vertical="center"/>
    </xf>
    <xf numFmtId="0" fontId="16" fillId="17" borderId="21" xfId="0" applyFont="1" applyFill="1" applyBorder="1" applyAlignment="1">
      <alignment horizontal="right" vertical="center"/>
    </xf>
    <xf numFmtId="0" fontId="17" fillId="17" borderId="22" xfId="0" applyFont="1" applyFill="1" applyBorder="1" applyAlignment="1">
      <alignment horizontal="center" vertical="center" wrapText="1"/>
    </xf>
    <xf numFmtId="0" fontId="0" fillId="16" borderId="4" xfId="0" applyFill="1" applyBorder="1" applyAlignment="1">
      <alignment horizontal="left" vertical="center" wrapText="1"/>
    </xf>
    <xf numFmtId="0" fontId="0" fillId="4" borderId="3" xfId="0" applyFill="1" applyBorder="1" applyAlignment="1">
      <alignment vertical="top" wrapText="1"/>
    </xf>
    <xf numFmtId="0" fontId="0" fillId="16" borderId="4" xfId="0" applyFill="1" applyBorder="1" applyAlignment="1">
      <alignment horizontal="justify" vertical="center" wrapText="1"/>
    </xf>
    <xf numFmtId="0" fontId="0" fillId="16" borderId="4" xfId="0" applyFill="1" applyBorder="1" applyAlignment="1">
      <alignment vertical="center" wrapText="1"/>
    </xf>
    <xf numFmtId="165" fontId="0" fillId="15" borderId="3" xfId="1" applyNumberFormat="1" applyFont="1" applyFill="1" applyBorder="1" applyAlignment="1">
      <alignment horizontal="right" vertical="center" wrapText="1"/>
    </xf>
    <xf numFmtId="0" fontId="9" fillId="11" borderId="4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18" borderId="4" xfId="0" applyFont="1" applyFill="1" applyBorder="1" applyAlignment="1">
      <alignment horizontal="justify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0" fillId="16" borderId="4" xfId="0" applyFill="1" applyBorder="1" applyAlignment="1">
      <alignment horizontal="justify" vertical="center"/>
    </xf>
    <xf numFmtId="0" fontId="10" fillId="16" borderId="4" xfId="0" applyFont="1" applyFill="1" applyBorder="1" applyAlignment="1">
      <alignment horizontal="justify" vertical="center"/>
    </xf>
    <xf numFmtId="0" fontId="12" fillId="16" borderId="4" xfId="0" applyFont="1" applyFill="1" applyBorder="1" applyAlignment="1">
      <alignment horizontal="justify" vertical="center"/>
    </xf>
    <xf numFmtId="0" fontId="4" fillId="3" borderId="4" xfId="0" applyFont="1" applyFill="1" applyBorder="1" applyAlignment="1">
      <alignment horizontal="left" vertical="center" wrapText="1"/>
    </xf>
    <xf numFmtId="0" fontId="0" fillId="3" borderId="3" xfId="0" applyFill="1" applyBorder="1"/>
    <xf numFmtId="0" fontId="0" fillId="16" borderId="3" xfId="0" applyFill="1" applyBorder="1"/>
    <xf numFmtId="0" fontId="4" fillId="8" borderId="4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10" borderId="4" xfId="0" applyFill="1" applyBorder="1" applyAlignment="1">
      <alignment horizontal="justify" vertical="center" wrapText="1"/>
    </xf>
    <xf numFmtId="0" fontId="4" fillId="11" borderId="4" xfId="0" applyFont="1" applyFill="1" applyBorder="1" applyAlignment="1">
      <alignment horizontal="justify" vertical="center" wrapText="1"/>
    </xf>
    <xf numFmtId="0" fontId="0" fillId="16" borderId="24" xfId="0" applyFill="1" applyBorder="1" applyAlignment="1">
      <alignment horizontal="justify" vertical="center" wrapText="1"/>
    </xf>
    <xf numFmtId="0" fontId="0" fillId="0" borderId="25" xfId="0" applyBorder="1" applyAlignment="1">
      <alignment vertical="center"/>
    </xf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8" borderId="25" xfId="0" applyFont="1" applyFill="1" applyBorder="1" applyAlignment="1">
      <alignment vertical="center"/>
    </xf>
    <xf numFmtId="0" fontId="0" fillId="8" borderId="25" xfId="0" applyFill="1" applyBorder="1" applyAlignment="1">
      <alignment horizontal="right"/>
    </xf>
    <xf numFmtId="0" fontId="0" fillId="8" borderId="25" xfId="0" applyFill="1" applyBorder="1" applyAlignment="1">
      <alignment horizontal="center"/>
    </xf>
    <xf numFmtId="0" fontId="0" fillId="8" borderId="26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9" borderId="18" xfId="0" applyFont="1" applyFill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9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left" vertical="center" wrapText="1"/>
    </xf>
    <xf numFmtId="0" fontId="0" fillId="10" borderId="10" xfId="0" applyFill="1" applyBorder="1" applyAlignment="1">
      <alignment horizontal="left" vertical="center" wrapText="1"/>
    </xf>
    <xf numFmtId="0" fontId="16" fillId="17" borderId="20" xfId="0" applyFont="1" applyFill="1" applyBorder="1" applyAlignment="1">
      <alignment horizontal="center" vertical="center"/>
    </xf>
    <xf numFmtId="0" fontId="16" fillId="17" borderId="2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2" fillId="7" borderId="23" xfId="0" applyFont="1" applyFill="1" applyBorder="1" applyAlignment="1">
      <alignment horizontal="left" vertical="center" wrapText="1"/>
    </xf>
    <xf numFmtId="17" fontId="0" fillId="8" borderId="2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0" borderId="9" xfId="0" applyFill="1" applyBorder="1" applyAlignment="1">
      <alignment horizontal="left" vertical="center" wrapText="1"/>
    </xf>
    <xf numFmtId="0" fontId="0" fillId="10" borderId="15" xfId="0" applyFill="1" applyBorder="1" applyAlignment="1">
      <alignment horizontal="left" vertical="center" wrapText="1"/>
    </xf>
    <xf numFmtId="0" fontId="0" fillId="10" borderId="4" xfId="0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7" borderId="1" xfId="0" applyFont="1" applyFill="1" applyBorder="1" applyAlignment="1">
      <alignment vertical="center" wrapText="1"/>
    </xf>
    <xf numFmtId="0" fontId="6" fillId="7" borderId="18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17" fontId="0" fillId="8" borderId="2" xfId="0" applyNumberForma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wrapText="1"/>
    </xf>
    <xf numFmtId="0" fontId="0" fillId="10" borderId="13" xfId="0" applyFill="1" applyBorder="1" applyAlignment="1">
      <alignment horizontal="left" vertical="center" wrapText="1"/>
    </xf>
    <xf numFmtId="0" fontId="0" fillId="12" borderId="4" xfId="0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E068C-3E1D-40DB-9A74-74F46BF7A035}">
  <dimension ref="A1:AB152"/>
  <sheetViews>
    <sheetView showGridLines="0" tabSelected="1" zoomScale="85" zoomScaleNormal="85" zoomScaleSheetLayoutView="110" workbookViewId="0">
      <pane xSplit="1" topLeftCell="B1" activePane="topRight" state="frozen"/>
      <selection pane="topRight" activeCell="B161" sqref="B160:B161"/>
    </sheetView>
  </sheetViews>
  <sheetFormatPr defaultColWidth="11.42578125" defaultRowHeight="14.45"/>
  <cols>
    <col min="1" max="1" width="4.7109375" style="1" hidden="1" customWidth="1"/>
    <col min="2" max="2" width="53.7109375" style="153" customWidth="1"/>
    <col min="3" max="3" width="27.85546875" style="37" hidden="1" customWidth="1"/>
    <col min="4" max="4" width="123.42578125" style="37" customWidth="1"/>
    <col min="5" max="5" width="25.5703125" style="37" hidden="1" customWidth="1"/>
    <col min="6" max="6" width="20.7109375" style="37" hidden="1" customWidth="1"/>
    <col min="7" max="7" width="24.140625" style="37" hidden="1" customWidth="1"/>
    <col min="8" max="8" width="70" style="37" hidden="1" customWidth="1"/>
    <col min="9" max="9" width="74.140625" style="37" customWidth="1"/>
    <col min="10" max="10" width="24.28515625" style="154" hidden="1" customWidth="1"/>
    <col min="11" max="11" width="11.42578125" style="155" hidden="1" customWidth="1"/>
    <col min="12" max="12" width="38.85546875" hidden="1" customWidth="1"/>
    <col min="13" max="13" width="24.42578125" style="164" customWidth="1"/>
    <col min="14" max="16384" width="11.42578125" style="164"/>
  </cols>
  <sheetData>
    <row r="1" spans="1:12" ht="23.45">
      <c r="B1" s="263" t="s">
        <v>0</v>
      </c>
      <c r="C1" s="264"/>
      <c r="D1" s="264"/>
      <c r="E1" s="264"/>
      <c r="F1" s="264"/>
      <c r="G1" s="264"/>
      <c r="H1" s="264"/>
      <c r="I1" s="264"/>
      <c r="J1" s="221"/>
      <c r="K1" s="220"/>
      <c r="L1" s="222"/>
    </row>
    <row r="2" spans="1:12" ht="15.95">
      <c r="B2" s="192" t="s">
        <v>1</v>
      </c>
      <c r="C2" s="193" t="s">
        <v>2</v>
      </c>
      <c r="D2" s="194" t="s">
        <v>3</v>
      </c>
      <c r="E2" s="195" t="s">
        <v>4</v>
      </c>
      <c r="F2" s="195" t="s">
        <v>5</v>
      </c>
      <c r="G2" s="196" t="s">
        <v>6</v>
      </c>
      <c r="H2" s="197" t="s">
        <v>2</v>
      </c>
      <c r="I2" s="197" t="s">
        <v>7</v>
      </c>
      <c r="J2" s="190" t="s">
        <v>4</v>
      </c>
      <c r="K2" s="190" t="s">
        <v>5</v>
      </c>
      <c r="L2" s="191" t="s">
        <v>6</v>
      </c>
    </row>
    <row r="3" spans="1:12" ht="20.45" customHeight="1">
      <c r="B3" s="252" t="s">
        <v>8</v>
      </c>
      <c r="C3" s="253"/>
      <c r="D3" s="253"/>
      <c r="E3" s="253"/>
      <c r="F3" s="253"/>
      <c r="G3" s="253"/>
      <c r="H3" s="253"/>
      <c r="I3" s="254"/>
      <c r="J3" s="190"/>
      <c r="K3" s="190"/>
      <c r="L3" s="191"/>
    </row>
    <row r="4" spans="1:12" ht="29.1">
      <c r="B4" s="261" t="s">
        <v>9</v>
      </c>
      <c r="C4" s="270" t="s">
        <v>10</v>
      </c>
      <c r="D4" s="11" t="s">
        <v>11</v>
      </c>
      <c r="E4" s="272" t="s">
        <v>12</v>
      </c>
      <c r="F4" s="270">
        <v>2024</v>
      </c>
      <c r="G4" s="7"/>
      <c r="H4" s="272" t="s">
        <v>13</v>
      </c>
      <c r="I4" s="273" t="s">
        <v>14</v>
      </c>
      <c r="J4" s="274" t="s">
        <v>15</v>
      </c>
      <c r="K4" s="268">
        <v>45474</v>
      </c>
      <c r="L4" s="269" t="s">
        <v>16</v>
      </c>
    </row>
    <row r="5" spans="1:12" ht="43.5">
      <c r="B5" s="261"/>
      <c r="C5" s="271"/>
      <c r="D5" s="11" t="s">
        <v>17</v>
      </c>
      <c r="E5" s="272"/>
      <c r="F5" s="271"/>
      <c r="G5" s="7"/>
      <c r="H5" s="272"/>
      <c r="I5" s="273"/>
      <c r="J5" s="274"/>
      <c r="K5" s="268"/>
      <c r="L5" s="269"/>
    </row>
    <row r="6" spans="1:12" ht="29.1">
      <c r="B6" s="261"/>
      <c r="C6" s="271"/>
      <c r="D6" s="11" t="s">
        <v>18</v>
      </c>
      <c r="E6" s="272"/>
      <c r="F6" s="271"/>
      <c r="G6" s="7"/>
      <c r="H6" s="272"/>
      <c r="I6" s="273"/>
      <c r="J6" s="274"/>
      <c r="K6" s="268"/>
      <c r="L6" s="269"/>
    </row>
    <row r="7" spans="1:12" ht="57.95">
      <c r="B7" s="261"/>
      <c r="C7" s="271"/>
      <c r="D7" s="11" t="s">
        <v>19</v>
      </c>
      <c r="E7" s="272"/>
      <c r="F7" s="271"/>
      <c r="G7" s="7"/>
      <c r="H7" s="272"/>
      <c r="I7" s="273"/>
      <c r="J7" s="274"/>
      <c r="K7" s="268"/>
      <c r="L7" s="269"/>
    </row>
    <row r="8" spans="1:12" ht="43.5">
      <c r="B8" s="261"/>
      <c r="C8" s="271"/>
      <c r="D8" s="11" t="s">
        <v>20</v>
      </c>
      <c r="E8" s="272"/>
      <c r="F8" s="271"/>
      <c r="G8" s="7"/>
      <c r="H8" s="272"/>
      <c r="I8" s="273"/>
      <c r="J8" s="274"/>
      <c r="K8" s="268"/>
      <c r="L8" s="269"/>
    </row>
    <row r="9" spans="1:12" ht="43.5">
      <c r="B9" s="261"/>
      <c r="C9" s="271"/>
      <c r="D9" s="11" t="s">
        <v>21</v>
      </c>
      <c r="E9" s="272"/>
      <c r="F9" s="271"/>
      <c r="G9" s="7"/>
      <c r="H9" s="272"/>
      <c r="I9" s="273"/>
      <c r="J9" s="274"/>
      <c r="K9" s="268"/>
      <c r="L9" s="269"/>
    </row>
    <row r="10" spans="1:12" ht="43.5">
      <c r="B10" s="261"/>
      <c r="C10" s="271"/>
      <c r="D10" s="11" t="s">
        <v>22</v>
      </c>
      <c r="E10" s="272"/>
      <c r="F10" s="271"/>
      <c r="G10" s="7"/>
      <c r="H10" s="272"/>
      <c r="I10" s="273"/>
      <c r="J10" s="274"/>
      <c r="K10" s="268"/>
      <c r="L10" s="269"/>
    </row>
    <row r="11" spans="1:12" ht="57.95">
      <c r="B11" s="261"/>
      <c r="C11" s="271"/>
      <c r="D11" s="11" t="s">
        <v>23</v>
      </c>
      <c r="E11" s="272"/>
      <c r="F11" s="271"/>
      <c r="G11" s="7"/>
      <c r="H11" s="272"/>
      <c r="I11" s="273"/>
      <c r="J11" s="274"/>
      <c r="K11" s="268"/>
      <c r="L11" s="269"/>
    </row>
    <row r="12" spans="1:12" ht="57.95">
      <c r="B12" s="261"/>
      <c r="C12" s="271"/>
      <c r="D12" s="11" t="s">
        <v>24</v>
      </c>
      <c r="E12" s="272"/>
      <c r="F12" s="271"/>
      <c r="G12" s="7"/>
      <c r="H12" s="272"/>
      <c r="I12" s="273"/>
      <c r="J12" s="274"/>
      <c r="K12" s="268"/>
      <c r="L12" s="269"/>
    </row>
    <row r="13" spans="1:12" ht="29.1">
      <c r="B13" s="262"/>
      <c r="C13" s="271"/>
      <c r="D13" s="157" t="s">
        <v>25</v>
      </c>
      <c r="E13" s="270"/>
      <c r="F13" s="271"/>
      <c r="G13" s="6"/>
      <c r="H13" s="270"/>
      <c r="I13" s="273"/>
      <c r="J13" s="274"/>
      <c r="K13" s="268"/>
      <c r="L13" s="269"/>
    </row>
    <row r="14" spans="1:12" s="165" customFormat="1" ht="42.6" customHeight="1">
      <c r="A14" s="13"/>
      <c r="B14" s="284" t="s">
        <v>26</v>
      </c>
      <c r="C14" s="285"/>
      <c r="D14" s="285"/>
      <c r="E14" s="285"/>
      <c r="F14" s="285"/>
      <c r="G14" s="285"/>
      <c r="H14" s="285"/>
      <c r="I14" s="286"/>
      <c r="J14" s="15"/>
      <c r="K14" s="16"/>
      <c r="L14" s="17"/>
    </row>
    <row r="15" spans="1:12">
      <c r="B15" s="18" t="s">
        <v>27</v>
      </c>
      <c r="C15" s="19"/>
      <c r="D15" s="19"/>
      <c r="E15" s="19"/>
      <c r="F15" s="19"/>
      <c r="G15" s="19"/>
      <c r="H15" s="19"/>
      <c r="I15" s="22"/>
      <c r="J15" s="22"/>
      <c r="K15" s="22"/>
      <c r="L15" s="23"/>
    </row>
    <row r="16" spans="1:12" ht="43.5">
      <c r="B16" s="24" t="s">
        <v>28</v>
      </c>
      <c r="C16" s="28" t="s">
        <v>29</v>
      </c>
      <c r="D16" s="25">
        <f>3+2</f>
        <v>5</v>
      </c>
      <c r="E16" s="25" t="s">
        <v>30</v>
      </c>
      <c r="F16" s="25">
        <v>2024</v>
      </c>
      <c r="G16" s="25"/>
      <c r="H16" s="25" t="s">
        <v>31</v>
      </c>
      <c r="I16" s="29">
        <f>7+18+12+2+5+4+3+3+2</f>
        <v>56</v>
      </c>
      <c r="J16" s="30" t="s">
        <v>30</v>
      </c>
      <c r="K16" s="31">
        <v>2024</v>
      </c>
      <c r="L16" s="32"/>
    </row>
    <row r="17" spans="1:12" s="166" customFormat="1" ht="72.599999999999994">
      <c r="A17" s="33"/>
      <c r="B17" s="34" t="s">
        <v>32</v>
      </c>
      <c r="C17" s="28" t="s">
        <v>33</v>
      </c>
      <c r="D17" s="25">
        <f>2+2+56+2+6</f>
        <v>68</v>
      </c>
      <c r="E17" s="25" t="s">
        <v>30</v>
      </c>
      <c r="F17" s="25">
        <v>2024</v>
      </c>
      <c r="G17" s="25"/>
      <c r="H17" s="25" t="s">
        <v>34</v>
      </c>
      <c r="I17" s="198">
        <f>17+4+10+14+174+26+30+34+68</f>
        <v>377</v>
      </c>
      <c r="J17" s="30" t="s">
        <v>30</v>
      </c>
      <c r="K17" s="31">
        <v>2024</v>
      </c>
      <c r="L17" s="36"/>
    </row>
    <row r="18" spans="1:12" s="166" customFormat="1" ht="69.599999999999994" customHeight="1">
      <c r="A18" s="33"/>
      <c r="B18" s="24" t="s">
        <v>35</v>
      </c>
      <c r="C18" s="28" t="s">
        <v>36</v>
      </c>
      <c r="D18" s="25">
        <f>9+3+2</f>
        <v>14</v>
      </c>
      <c r="E18" s="25" t="s">
        <v>30</v>
      </c>
      <c r="F18" s="25">
        <v>2024</v>
      </c>
      <c r="G18" s="25"/>
      <c r="H18" s="25" t="s">
        <v>37</v>
      </c>
      <c r="I18" s="31">
        <f>7+28+72+2+26+9+35+24+16+2+20+13+44+4+476+30+3+3+14</f>
        <v>828</v>
      </c>
      <c r="J18" s="30" t="s">
        <v>30</v>
      </c>
      <c r="K18" s="31">
        <v>2024</v>
      </c>
      <c r="L18" s="36"/>
    </row>
    <row r="19" spans="1:12" s="166" customFormat="1" ht="57.95">
      <c r="A19" s="38"/>
      <c r="B19" s="158" t="s">
        <v>38</v>
      </c>
      <c r="C19" s="159" t="s">
        <v>39</v>
      </c>
      <c r="D19" s="160">
        <f>2+1+2</f>
        <v>5</v>
      </c>
      <c r="E19" s="160" t="s">
        <v>30</v>
      </c>
      <c r="F19" s="160">
        <v>2024</v>
      </c>
      <c r="G19" s="160"/>
      <c r="H19" s="159" t="s">
        <v>39</v>
      </c>
      <c r="I19" s="160">
        <f>2+1+2</f>
        <v>5</v>
      </c>
      <c r="J19" s="41" t="s">
        <v>30</v>
      </c>
      <c r="K19" s="41"/>
      <c r="L19" s="45"/>
    </row>
    <row r="20" spans="1:12" ht="57.95">
      <c r="B20" s="46" t="s">
        <v>40</v>
      </c>
      <c r="C20" s="48" t="s">
        <v>41</v>
      </c>
      <c r="D20" s="49">
        <v>6</v>
      </c>
      <c r="E20" s="47" t="s">
        <v>30</v>
      </c>
      <c r="F20" s="47">
        <v>2024</v>
      </c>
      <c r="G20" s="49"/>
      <c r="H20" s="49" t="s">
        <v>42</v>
      </c>
      <c r="I20" s="50">
        <f>22+5+21+203+34+17+7+18+17+17+6</f>
        <v>367</v>
      </c>
      <c r="J20" s="51" t="s">
        <v>30</v>
      </c>
      <c r="K20" s="50">
        <v>2024</v>
      </c>
      <c r="L20" s="52"/>
    </row>
    <row r="21" spans="1:12" ht="70.5" customHeight="1">
      <c r="A21" s="53"/>
      <c r="B21" s="223" t="s">
        <v>43</v>
      </c>
      <c r="C21" s="161" t="s">
        <v>44</v>
      </c>
      <c r="D21" s="162">
        <f>2+6</f>
        <v>8</v>
      </c>
      <c r="E21" s="160" t="s">
        <v>30</v>
      </c>
      <c r="F21" s="160">
        <v>2024</v>
      </c>
      <c r="G21" s="163"/>
      <c r="H21" s="161" t="s">
        <v>44</v>
      </c>
      <c r="I21" s="162">
        <f>2+6</f>
        <v>8</v>
      </c>
      <c r="J21" s="41" t="s">
        <v>30</v>
      </c>
      <c r="K21" s="41">
        <v>2024</v>
      </c>
      <c r="L21" s="224"/>
    </row>
    <row r="22" spans="1:12" ht="63.6" customHeight="1">
      <c r="B22" s="54" t="s">
        <v>45</v>
      </c>
      <c r="C22" s="55" t="s">
        <v>46</v>
      </c>
      <c r="D22" s="55">
        <f>2+10</f>
        <v>12</v>
      </c>
      <c r="E22" s="55" t="s">
        <v>30</v>
      </c>
      <c r="F22" s="55">
        <v>2024</v>
      </c>
      <c r="G22" s="55"/>
      <c r="H22" s="55" t="s">
        <v>47</v>
      </c>
      <c r="I22" s="56" t="s">
        <v>48</v>
      </c>
      <c r="J22" s="56" t="s">
        <v>30</v>
      </c>
      <c r="K22" s="57">
        <v>2024</v>
      </c>
      <c r="L22" s="58" t="s">
        <v>49</v>
      </c>
    </row>
    <row r="23" spans="1:12" ht="43.5">
      <c r="B23" s="4" t="s">
        <v>50</v>
      </c>
      <c r="C23" s="25" t="s">
        <v>51</v>
      </c>
      <c r="D23" s="25">
        <v>1</v>
      </c>
      <c r="E23" s="55" t="s">
        <v>30</v>
      </c>
      <c r="F23" s="55">
        <v>2024</v>
      </c>
      <c r="G23" s="25"/>
      <c r="H23" s="25" t="s">
        <v>52</v>
      </c>
      <c r="I23" s="31">
        <v>16</v>
      </c>
      <c r="J23" s="30" t="s">
        <v>53</v>
      </c>
      <c r="K23" s="60">
        <v>45261</v>
      </c>
      <c r="L23" s="61" t="s">
        <v>54</v>
      </c>
    </row>
    <row r="24" spans="1:12" ht="43.5">
      <c r="A24" s="53"/>
      <c r="B24" s="158" t="s">
        <v>55</v>
      </c>
      <c r="C24" s="160" t="s">
        <v>56</v>
      </c>
      <c r="D24" s="160">
        <f>304+25</f>
        <v>329</v>
      </c>
      <c r="E24" s="160" t="s">
        <v>57</v>
      </c>
      <c r="F24" s="160"/>
      <c r="G24" s="160"/>
      <c r="H24" s="160" t="s">
        <v>56</v>
      </c>
      <c r="I24" s="160">
        <f>304+25</f>
        <v>329</v>
      </c>
      <c r="J24" s="39" t="s">
        <v>57</v>
      </c>
      <c r="K24" s="42">
        <v>45627</v>
      </c>
      <c r="L24" s="62"/>
    </row>
    <row r="25" spans="1:12" ht="43.5">
      <c r="B25" s="4" t="s">
        <v>58</v>
      </c>
      <c r="C25" s="64"/>
      <c r="D25" s="64"/>
      <c r="E25" s="64"/>
      <c r="F25" s="64"/>
      <c r="G25" s="64"/>
      <c r="H25" s="5" t="s">
        <v>59</v>
      </c>
      <c r="I25" s="30" t="s">
        <v>60</v>
      </c>
      <c r="J25" s="65" t="s">
        <v>61</v>
      </c>
      <c r="K25" s="60">
        <v>45261</v>
      </c>
      <c r="L25" s="61"/>
    </row>
    <row r="26" spans="1:12" ht="29.1">
      <c r="B26" s="4" t="s">
        <v>62</v>
      </c>
      <c r="C26" s="64"/>
      <c r="D26" s="64"/>
      <c r="E26" s="64"/>
      <c r="F26" s="64"/>
      <c r="G26" s="64"/>
      <c r="H26" s="5" t="s">
        <v>63</v>
      </c>
      <c r="I26" s="30" t="s">
        <v>64</v>
      </c>
      <c r="J26" s="65" t="s">
        <v>65</v>
      </c>
      <c r="K26" s="60">
        <v>45261</v>
      </c>
      <c r="L26" s="61"/>
    </row>
    <row r="27" spans="1:12" ht="43.5">
      <c r="A27" s="53"/>
      <c r="B27" s="158" t="s">
        <v>66</v>
      </c>
      <c r="C27" s="161" t="s">
        <v>67</v>
      </c>
      <c r="D27" s="162">
        <v>1</v>
      </c>
      <c r="E27" s="161" t="s">
        <v>57</v>
      </c>
      <c r="F27" s="161">
        <v>2024</v>
      </c>
      <c r="G27" s="161"/>
      <c r="H27" s="161" t="s">
        <v>67</v>
      </c>
      <c r="I27" s="162">
        <v>1</v>
      </c>
      <c r="J27" s="43" t="s">
        <v>57</v>
      </c>
      <c r="K27" s="43">
        <v>2024</v>
      </c>
      <c r="L27" s="62"/>
    </row>
    <row r="28" spans="1:12" ht="60" customHeight="1">
      <c r="A28" s="53"/>
      <c r="B28" s="158" t="s">
        <v>68</v>
      </c>
      <c r="C28" s="161" t="s">
        <v>69</v>
      </c>
      <c r="D28" s="162">
        <f>1+2+4</f>
        <v>7</v>
      </c>
      <c r="E28" s="161" t="s">
        <v>57</v>
      </c>
      <c r="F28" s="161">
        <v>2024</v>
      </c>
      <c r="G28" s="161"/>
      <c r="H28" s="161" t="s">
        <v>70</v>
      </c>
      <c r="I28" s="162">
        <v>7</v>
      </c>
      <c r="J28" s="43" t="s">
        <v>57</v>
      </c>
      <c r="K28" s="43">
        <v>2024</v>
      </c>
      <c r="L28" s="62"/>
    </row>
    <row r="29" spans="1:12" ht="43.5">
      <c r="A29" s="53"/>
      <c r="B29" s="158" t="s">
        <v>71</v>
      </c>
      <c r="C29" s="161" t="s">
        <v>72</v>
      </c>
      <c r="D29" s="162">
        <v>300</v>
      </c>
      <c r="E29" s="161" t="s">
        <v>57</v>
      </c>
      <c r="F29" s="161">
        <v>2024</v>
      </c>
      <c r="G29" s="161"/>
      <c r="H29" s="161" t="s">
        <v>73</v>
      </c>
      <c r="I29" s="162">
        <v>300</v>
      </c>
      <c r="J29" s="44" t="s">
        <v>57</v>
      </c>
      <c r="K29" s="44">
        <v>2024</v>
      </c>
      <c r="L29" s="62"/>
    </row>
    <row r="30" spans="1:12" ht="72.599999999999994">
      <c r="A30" s="53"/>
      <c r="B30" s="158" t="s">
        <v>74</v>
      </c>
      <c r="C30" s="161" t="s">
        <v>75</v>
      </c>
      <c r="D30" s="162">
        <v>2</v>
      </c>
      <c r="E30" s="161" t="s">
        <v>57</v>
      </c>
      <c r="F30" s="161">
        <v>2024</v>
      </c>
      <c r="G30" s="161"/>
      <c r="H30" s="161" t="s">
        <v>75</v>
      </c>
      <c r="I30" s="162">
        <v>2</v>
      </c>
      <c r="J30" s="43" t="s">
        <v>57</v>
      </c>
      <c r="K30" s="43">
        <v>2024</v>
      </c>
      <c r="L30" s="62"/>
    </row>
    <row r="31" spans="1:12" ht="15.95">
      <c r="A31" s="66"/>
      <c r="B31" s="199" t="s">
        <v>76</v>
      </c>
      <c r="C31" s="201"/>
      <c r="D31" s="201"/>
      <c r="E31" s="201"/>
      <c r="F31" s="201"/>
      <c r="G31" s="201"/>
      <c r="H31" s="201"/>
      <c r="I31" s="202"/>
      <c r="J31" s="68"/>
      <c r="K31" s="69"/>
      <c r="L31" s="70"/>
    </row>
    <row r="32" spans="1:12" ht="57.95">
      <c r="A32" s="66"/>
      <c r="B32" s="223" t="s">
        <v>77</v>
      </c>
      <c r="C32" s="161" t="s">
        <v>78</v>
      </c>
      <c r="D32" s="162">
        <v>3</v>
      </c>
      <c r="E32" s="161" t="s">
        <v>57</v>
      </c>
      <c r="F32" s="161">
        <v>2024</v>
      </c>
      <c r="G32" s="161"/>
      <c r="H32" s="161" t="s">
        <v>78</v>
      </c>
      <c r="I32" s="162">
        <v>3</v>
      </c>
      <c r="J32" s="67" t="s">
        <v>57</v>
      </c>
      <c r="K32" s="67">
        <v>2024</v>
      </c>
      <c r="L32" s="70"/>
    </row>
    <row r="33" spans="1:28" ht="29.1">
      <c r="A33" s="66"/>
      <c r="B33" s="223" t="s">
        <v>79</v>
      </c>
      <c r="C33" s="161" t="s">
        <v>78</v>
      </c>
      <c r="D33" s="162">
        <v>3</v>
      </c>
      <c r="E33" s="161" t="s">
        <v>57</v>
      </c>
      <c r="F33" s="161">
        <v>2024</v>
      </c>
      <c r="G33" s="161"/>
      <c r="H33" s="161" t="s">
        <v>78</v>
      </c>
      <c r="I33" s="162">
        <v>3</v>
      </c>
      <c r="J33" s="67" t="s">
        <v>57</v>
      </c>
      <c r="K33" s="67">
        <v>2024</v>
      </c>
      <c r="L33" s="70"/>
    </row>
    <row r="34" spans="1:28" s="167" customFormat="1" ht="32.450000000000003" customHeight="1">
      <c r="A34" s="219"/>
      <c r="B34" s="255" t="s">
        <v>80</v>
      </c>
      <c r="C34" s="256"/>
      <c r="D34" s="256"/>
      <c r="E34" s="256"/>
      <c r="F34" s="256"/>
      <c r="G34" s="256"/>
      <c r="H34" s="256"/>
      <c r="I34" s="257"/>
      <c r="J34" s="15"/>
      <c r="K34" s="16"/>
      <c r="L34" s="17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</row>
    <row r="35" spans="1:28">
      <c r="B35" s="18" t="s">
        <v>81</v>
      </c>
      <c r="C35" s="19"/>
      <c r="D35" s="19"/>
      <c r="E35" s="19"/>
      <c r="F35" s="19"/>
      <c r="G35" s="19"/>
      <c r="H35" s="19"/>
      <c r="I35" s="19"/>
      <c r="J35" s="19"/>
      <c r="K35" s="19"/>
      <c r="L35" s="71"/>
    </row>
    <row r="36" spans="1:28" ht="86.45" customHeight="1">
      <c r="B36" s="24" t="s">
        <v>82</v>
      </c>
      <c r="C36" s="31"/>
      <c r="D36" s="31"/>
      <c r="E36" s="31"/>
      <c r="F36" s="31"/>
      <c r="G36" s="31"/>
      <c r="H36" s="25" t="s">
        <v>83</v>
      </c>
      <c r="I36" s="30" t="s">
        <v>84</v>
      </c>
      <c r="J36" s="30" t="s">
        <v>85</v>
      </c>
      <c r="K36" s="60">
        <v>45261</v>
      </c>
      <c r="L36" s="72"/>
    </row>
    <row r="37" spans="1:28" ht="87">
      <c r="A37" s="53"/>
      <c r="B37" s="158" t="s">
        <v>86</v>
      </c>
      <c r="C37" s="160" t="s">
        <v>87</v>
      </c>
      <c r="D37" s="160">
        <f>11+54+19</f>
        <v>84</v>
      </c>
      <c r="E37" s="160" t="s">
        <v>85</v>
      </c>
      <c r="F37" s="160">
        <v>2024</v>
      </c>
      <c r="G37" s="160"/>
      <c r="H37" s="160" t="s">
        <v>87</v>
      </c>
      <c r="I37" s="160">
        <f>11+54+19</f>
        <v>84</v>
      </c>
      <c r="J37" s="41" t="s">
        <v>85</v>
      </c>
      <c r="K37" s="41">
        <v>2024</v>
      </c>
      <c r="L37" s="40"/>
    </row>
    <row r="38" spans="1:28" ht="43.5">
      <c r="A38" s="53"/>
      <c r="B38" s="158" t="s">
        <v>88</v>
      </c>
      <c r="C38" s="160" t="s">
        <v>89</v>
      </c>
      <c r="D38" s="160">
        <f>4+7</f>
        <v>11</v>
      </c>
      <c r="E38" s="160" t="s">
        <v>85</v>
      </c>
      <c r="F38" s="160">
        <v>2024</v>
      </c>
      <c r="G38" s="160"/>
      <c r="H38" s="160" t="s">
        <v>89</v>
      </c>
      <c r="I38" s="160">
        <f>4+7</f>
        <v>11</v>
      </c>
      <c r="J38" s="41" t="s">
        <v>85</v>
      </c>
      <c r="K38" s="41">
        <v>2024</v>
      </c>
      <c r="L38" s="40"/>
    </row>
    <row r="39" spans="1:28" ht="36" customHeight="1">
      <c r="B39" s="4" t="s">
        <v>90</v>
      </c>
      <c r="C39" s="31"/>
      <c r="D39" s="31"/>
      <c r="E39" s="31"/>
      <c r="F39" s="31"/>
      <c r="G39" s="31"/>
      <c r="H39" s="25" t="s">
        <v>91</v>
      </c>
      <c r="I39" s="30" t="s">
        <v>92</v>
      </c>
      <c r="J39" s="30" t="s">
        <v>85</v>
      </c>
      <c r="K39" s="60">
        <v>45261</v>
      </c>
      <c r="L39" s="61"/>
    </row>
    <row r="40" spans="1:28" ht="45" customHeight="1">
      <c r="B40" s="12" t="s">
        <v>93</v>
      </c>
      <c r="C40" s="50"/>
      <c r="D40" s="50"/>
      <c r="E40" s="50"/>
      <c r="F40" s="50"/>
      <c r="G40" s="50"/>
      <c r="H40" s="47" t="s">
        <v>91</v>
      </c>
      <c r="I40" s="30" t="s">
        <v>94</v>
      </c>
      <c r="J40" s="30" t="s">
        <v>85</v>
      </c>
      <c r="K40" s="60">
        <v>45261</v>
      </c>
      <c r="L40" s="61"/>
    </row>
    <row r="41" spans="1:28" ht="25.5" customHeight="1">
      <c r="A41" s="53"/>
      <c r="B41" s="255" t="s">
        <v>95</v>
      </c>
      <c r="C41" s="256"/>
      <c r="D41" s="256"/>
      <c r="E41" s="256"/>
      <c r="F41" s="256"/>
      <c r="G41" s="256"/>
      <c r="H41" s="256"/>
      <c r="I41" s="257"/>
      <c r="J41" s="265"/>
      <c r="K41" s="266"/>
      <c r="L41" s="267"/>
    </row>
    <row r="42" spans="1:28">
      <c r="B42" s="156" t="s">
        <v>81</v>
      </c>
      <c r="C42" s="20"/>
      <c r="D42" s="20"/>
      <c r="E42" s="20"/>
      <c r="F42" s="20"/>
      <c r="G42" s="20"/>
      <c r="H42" s="20"/>
      <c r="I42" s="14"/>
      <c r="J42" s="15"/>
      <c r="K42" s="16"/>
      <c r="L42" s="17"/>
    </row>
    <row r="43" spans="1:28" ht="101.45">
      <c r="B43" s="4" t="s">
        <v>96</v>
      </c>
      <c r="C43" s="26" t="s">
        <v>97</v>
      </c>
      <c r="D43" s="25">
        <f>294+606+270+25</f>
        <v>1195</v>
      </c>
      <c r="E43" s="27" t="s">
        <v>85</v>
      </c>
      <c r="F43" s="27">
        <v>2024</v>
      </c>
      <c r="G43" s="73"/>
      <c r="H43" s="73" t="s">
        <v>98</v>
      </c>
      <c r="I43" s="74">
        <f>132+1946+65+2309+518+8+16+111+1757+1164+117+2044+2540+940+1195</f>
        <v>14862</v>
      </c>
      <c r="J43" s="30" t="s">
        <v>30</v>
      </c>
      <c r="K43" s="31">
        <v>2024</v>
      </c>
      <c r="L43" s="61"/>
    </row>
    <row r="44" spans="1:28" s="174" customFormat="1" ht="43.5">
      <c r="B44" s="225" t="s">
        <v>99</v>
      </c>
      <c r="C44" s="162" t="s">
        <v>100</v>
      </c>
      <c r="D44" s="160">
        <v>2</v>
      </c>
      <c r="E44" s="175" t="s">
        <v>101</v>
      </c>
      <c r="F44" s="175">
        <v>2024</v>
      </c>
      <c r="G44" s="176"/>
      <c r="H44" s="162" t="s">
        <v>100</v>
      </c>
      <c r="I44" s="160">
        <v>2</v>
      </c>
      <c r="J44" s="175" t="s">
        <v>101</v>
      </c>
      <c r="K44" s="175">
        <v>2024</v>
      </c>
      <c r="L44" s="177"/>
    </row>
    <row r="45" spans="1:28" s="174" customFormat="1" ht="57.95">
      <c r="B45" s="225" t="s">
        <v>102</v>
      </c>
      <c r="C45" s="162" t="s">
        <v>103</v>
      </c>
      <c r="D45" s="160">
        <v>1</v>
      </c>
      <c r="E45" s="175" t="s">
        <v>101</v>
      </c>
      <c r="F45" s="175">
        <v>2024</v>
      </c>
      <c r="G45" s="176"/>
      <c r="H45" s="162" t="s">
        <v>103</v>
      </c>
      <c r="I45" s="160">
        <v>1</v>
      </c>
      <c r="J45" s="175" t="s">
        <v>101</v>
      </c>
      <c r="K45" s="175">
        <v>2024</v>
      </c>
      <c r="L45" s="177"/>
    </row>
    <row r="46" spans="1:28" s="174" customFormat="1" ht="43.5">
      <c r="B46" s="226" t="s">
        <v>104</v>
      </c>
      <c r="C46" s="162" t="s">
        <v>105</v>
      </c>
      <c r="D46" s="160">
        <v>1</v>
      </c>
      <c r="E46" s="175" t="s">
        <v>101</v>
      </c>
      <c r="F46" s="175">
        <v>2024</v>
      </c>
      <c r="G46" s="176"/>
      <c r="H46" s="162" t="s">
        <v>105</v>
      </c>
      <c r="I46" s="160">
        <v>1</v>
      </c>
      <c r="J46" s="175" t="s">
        <v>101</v>
      </c>
      <c r="K46" s="175">
        <v>2024</v>
      </c>
      <c r="L46" s="177"/>
    </row>
    <row r="47" spans="1:28" s="168" customFormat="1" ht="18.600000000000001" customHeight="1">
      <c r="A47" s="218"/>
      <c r="B47" s="255" t="s">
        <v>106</v>
      </c>
      <c r="C47" s="256"/>
      <c r="D47" s="256"/>
      <c r="E47" s="256"/>
      <c r="F47" s="256"/>
      <c r="G47" s="256"/>
      <c r="H47" s="256"/>
      <c r="I47" s="257"/>
      <c r="J47" s="75"/>
      <c r="K47" s="3"/>
      <c r="L47" s="127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</row>
    <row r="48" spans="1:28">
      <c r="B48" s="156" t="s">
        <v>27</v>
      </c>
      <c r="C48" s="20"/>
      <c r="D48" s="20"/>
      <c r="E48" s="20"/>
      <c r="F48" s="20"/>
      <c r="G48" s="20"/>
      <c r="H48" s="20"/>
      <c r="I48" s="20"/>
      <c r="J48" s="76"/>
      <c r="K48" s="21"/>
      <c r="L48" s="77"/>
    </row>
    <row r="49" spans="1:28" ht="57.95">
      <c r="B49" s="4" t="s">
        <v>107</v>
      </c>
      <c r="C49" s="25"/>
      <c r="D49" s="25"/>
      <c r="E49" s="25"/>
      <c r="F49" s="25"/>
      <c r="G49" s="25"/>
      <c r="H49" s="25" t="s">
        <v>108</v>
      </c>
      <c r="I49" s="31">
        <f>163+111+5+12+1+23+41+32+30</f>
        <v>418</v>
      </c>
      <c r="J49" s="30" t="s">
        <v>109</v>
      </c>
      <c r="K49" s="60">
        <v>44166</v>
      </c>
      <c r="L49" s="32"/>
    </row>
    <row r="50" spans="1:28" ht="43.5">
      <c r="B50" s="4" t="s">
        <v>110</v>
      </c>
      <c r="C50" s="5"/>
      <c r="D50" s="5"/>
      <c r="E50" s="5"/>
      <c r="F50" s="5"/>
      <c r="G50" s="5"/>
      <c r="H50" s="5" t="s">
        <v>111</v>
      </c>
      <c r="I50" s="30">
        <f>3987+(680*5)</f>
        <v>7387</v>
      </c>
      <c r="J50" s="65" t="s">
        <v>112</v>
      </c>
      <c r="K50" s="9">
        <v>43800</v>
      </c>
      <c r="L50" s="72" t="s">
        <v>113</v>
      </c>
    </row>
    <row r="51" spans="1:28" ht="43.5">
      <c r="B51" s="4" t="s">
        <v>114</v>
      </c>
      <c r="C51" s="5"/>
      <c r="D51" s="5"/>
      <c r="E51" s="5"/>
      <c r="F51" s="5"/>
      <c r="G51" s="5"/>
      <c r="H51" s="5" t="s">
        <v>111</v>
      </c>
      <c r="I51" s="30">
        <f>3987+1925</f>
        <v>5912</v>
      </c>
      <c r="J51" s="65" t="s">
        <v>112</v>
      </c>
      <c r="K51" s="9">
        <v>43800</v>
      </c>
      <c r="L51" s="61"/>
    </row>
    <row r="52" spans="1:28" ht="29.1">
      <c r="B52" s="4" t="s">
        <v>115</v>
      </c>
      <c r="C52" s="73"/>
      <c r="D52" s="73"/>
      <c r="E52" s="73"/>
      <c r="F52" s="73"/>
      <c r="G52" s="73"/>
      <c r="H52" s="73" t="s">
        <v>116</v>
      </c>
      <c r="I52" s="29">
        <f>1+23+27+2+1</f>
        <v>54</v>
      </c>
      <c r="J52" s="30" t="s">
        <v>109</v>
      </c>
      <c r="K52" s="60">
        <v>44166</v>
      </c>
      <c r="L52" s="61"/>
    </row>
    <row r="53" spans="1:28" ht="29.1">
      <c r="A53" s="53"/>
      <c r="B53" s="225" t="s">
        <v>117</v>
      </c>
      <c r="C53" s="176" t="s">
        <v>118</v>
      </c>
      <c r="D53" s="176">
        <v>127</v>
      </c>
      <c r="E53" s="175" t="s">
        <v>101</v>
      </c>
      <c r="F53" s="175">
        <v>2024</v>
      </c>
      <c r="G53" s="176"/>
      <c r="H53" s="176" t="s">
        <v>118</v>
      </c>
      <c r="I53" s="176">
        <v>127</v>
      </c>
      <c r="J53" s="44" t="s">
        <v>101</v>
      </c>
      <c r="K53" s="44">
        <v>2024</v>
      </c>
      <c r="L53" s="62"/>
    </row>
    <row r="54" spans="1:28" ht="43.5">
      <c r="A54" s="53"/>
      <c r="B54" s="225" t="s">
        <v>119</v>
      </c>
      <c r="C54" s="176" t="s">
        <v>120</v>
      </c>
      <c r="D54" s="176">
        <v>2</v>
      </c>
      <c r="E54" s="175" t="s">
        <v>101</v>
      </c>
      <c r="F54" s="175">
        <v>2024</v>
      </c>
      <c r="G54" s="176"/>
      <c r="H54" s="176" t="s">
        <v>120</v>
      </c>
      <c r="I54" s="176">
        <v>2</v>
      </c>
      <c r="J54" s="44" t="s">
        <v>101</v>
      </c>
      <c r="K54" s="44">
        <v>2024</v>
      </c>
      <c r="L54" s="62"/>
    </row>
    <row r="55" spans="1:28" s="165" customFormat="1" ht="14.45" customHeight="1">
      <c r="A55" s="13"/>
      <c r="B55" s="255" t="s">
        <v>121</v>
      </c>
      <c r="C55" s="256"/>
      <c r="D55" s="256"/>
      <c r="E55" s="256"/>
      <c r="F55" s="256"/>
      <c r="G55" s="256"/>
      <c r="H55" s="256"/>
      <c r="I55" s="257"/>
      <c r="J55" s="15"/>
      <c r="K55" s="16"/>
      <c r="L55" s="17"/>
    </row>
    <row r="56" spans="1:28">
      <c r="B56" s="2" t="s">
        <v>27</v>
      </c>
      <c r="C56" s="14"/>
      <c r="D56" s="14"/>
      <c r="E56" s="14"/>
      <c r="F56" s="14"/>
      <c r="G56" s="14"/>
      <c r="H56" s="14"/>
      <c r="I56" s="14"/>
      <c r="J56" s="15"/>
      <c r="K56" s="16"/>
      <c r="L56" s="17"/>
    </row>
    <row r="57" spans="1:28" ht="14.45" customHeight="1">
      <c r="B57" s="82" t="s">
        <v>122</v>
      </c>
      <c r="C57" s="83" t="s">
        <v>123</v>
      </c>
      <c r="D57" s="84">
        <v>0.36</v>
      </c>
      <c r="E57" s="25" t="s">
        <v>85</v>
      </c>
      <c r="F57" s="25">
        <v>2024</v>
      </c>
      <c r="G57" s="5"/>
      <c r="H57" s="5" t="s">
        <v>124</v>
      </c>
      <c r="I57" s="30">
        <f>976+329+1363+107+87+20</f>
        <v>2882</v>
      </c>
      <c r="J57" s="65" t="s">
        <v>57</v>
      </c>
      <c r="K57" s="9">
        <v>2024</v>
      </c>
      <c r="L57" s="61"/>
    </row>
    <row r="58" spans="1:28" ht="15.95">
      <c r="B58" s="199" t="s">
        <v>76</v>
      </c>
      <c r="C58" s="200"/>
      <c r="D58" s="200"/>
      <c r="E58" s="200"/>
      <c r="F58" s="200"/>
      <c r="G58" s="200"/>
      <c r="H58" s="200"/>
      <c r="I58" s="200"/>
      <c r="J58" s="15"/>
      <c r="K58" s="16"/>
      <c r="L58" s="17"/>
    </row>
    <row r="59" spans="1:28" s="169" customFormat="1" ht="39" customHeight="1">
      <c r="A59" s="85"/>
      <c r="B59" s="24" t="s">
        <v>125</v>
      </c>
      <c r="C59" s="11" t="s">
        <v>126</v>
      </c>
      <c r="D59" s="59">
        <f>41+481</f>
        <v>522</v>
      </c>
      <c r="E59" s="25" t="s">
        <v>85</v>
      </c>
      <c r="F59" s="25">
        <v>2024</v>
      </c>
      <c r="G59" s="11"/>
      <c r="H59" s="11" t="s">
        <v>127</v>
      </c>
      <c r="I59" s="87">
        <f>2584+589+200+100+189+69789+2530+522</f>
        <v>76503</v>
      </c>
      <c r="J59" s="30" t="s">
        <v>128</v>
      </c>
      <c r="K59" s="88">
        <v>2024</v>
      </c>
      <c r="L59" s="89"/>
    </row>
    <row r="60" spans="1:28" ht="60.6" customHeight="1">
      <c r="B60" s="24" t="s">
        <v>129</v>
      </c>
      <c r="C60" s="5" t="s">
        <v>130</v>
      </c>
      <c r="D60" s="26">
        <f>3+8</f>
        <v>11</v>
      </c>
      <c r="E60" s="25" t="s">
        <v>85</v>
      </c>
      <c r="F60" s="25">
        <v>2024</v>
      </c>
      <c r="G60" s="5"/>
      <c r="H60" s="5" t="s">
        <v>131</v>
      </c>
      <c r="I60" s="30">
        <f>2+1+12+4+6+1+2+10+1+4+11+16+3+8</f>
        <v>81</v>
      </c>
      <c r="J60" s="90" t="s">
        <v>132</v>
      </c>
      <c r="K60" s="88">
        <v>2024</v>
      </c>
      <c r="L60" s="61"/>
    </row>
    <row r="61" spans="1:28" ht="43.5">
      <c r="B61" s="24" t="s">
        <v>133</v>
      </c>
      <c r="C61" s="25" t="s">
        <v>134</v>
      </c>
      <c r="D61" s="25">
        <f>158+481</f>
        <v>639</v>
      </c>
      <c r="E61" s="25" t="s">
        <v>85</v>
      </c>
      <c r="F61" s="25">
        <v>2024</v>
      </c>
      <c r="G61" s="25"/>
      <c r="H61" s="25" t="s">
        <v>135</v>
      </c>
      <c r="I61" s="74">
        <f>1475+5836+2335+639</f>
        <v>10285</v>
      </c>
      <c r="J61" s="30" t="s">
        <v>57</v>
      </c>
      <c r="K61" s="60">
        <v>2024</v>
      </c>
      <c r="L61" s="36" t="s">
        <v>136</v>
      </c>
    </row>
    <row r="62" spans="1:28" ht="74.099999999999994" customHeight="1">
      <c r="B62" s="46" t="s">
        <v>137</v>
      </c>
      <c r="C62" s="91" t="s">
        <v>138</v>
      </c>
      <c r="D62" s="92">
        <f>AVERAGE(36%,74%,30%)</f>
        <v>0.46666666666666673</v>
      </c>
      <c r="E62" s="47" t="s">
        <v>30</v>
      </c>
      <c r="F62" s="47">
        <v>2024</v>
      </c>
      <c r="G62" s="93"/>
      <c r="H62" s="93" t="s">
        <v>139</v>
      </c>
      <c r="I62" s="94">
        <f>AVERAGE(48%,54%,31%,47%)</f>
        <v>0.45</v>
      </c>
      <c r="J62" s="51" t="s">
        <v>109</v>
      </c>
      <c r="K62" s="95">
        <v>45261</v>
      </c>
      <c r="L62" s="96">
        <f>667+479+589+147+143+2162</f>
        <v>4187</v>
      </c>
    </row>
    <row r="63" spans="1:28" s="168" customFormat="1" ht="15.95">
      <c r="A63" s="97"/>
      <c r="B63" s="258" t="s">
        <v>140</v>
      </c>
      <c r="C63" s="259"/>
      <c r="D63" s="259"/>
      <c r="E63" s="259"/>
      <c r="F63" s="259"/>
      <c r="G63" s="259"/>
      <c r="H63" s="259"/>
      <c r="I63" s="260"/>
      <c r="J63" s="98"/>
      <c r="K63" s="99"/>
      <c r="L63" s="227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</row>
    <row r="64" spans="1:28">
      <c r="B64" s="228" t="s">
        <v>141</v>
      </c>
      <c r="C64" s="86"/>
      <c r="D64" s="84"/>
      <c r="E64" s="55"/>
      <c r="F64" s="55"/>
      <c r="G64" s="100"/>
      <c r="H64" s="100"/>
      <c r="I64" s="101"/>
      <c r="J64" s="56"/>
      <c r="K64" s="102"/>
      <c r="L64" s="103"/>
    </row>
    <row r="65" spans="1:12" ht="43.5">
      <c r="B65" s="229" t="s">
        <v>142</v>
      </c>
      <c r="C65" s="86" t="s">
        <v>143</v>
      </c>
      <c r="D65" s="86">
        <v>78650</v>
      </c>
      <c r="E65" s="187" t="s">
        <v>30</v>
      </c>
      <c r="F65" s="187">
        <v>2024</v>
      </c>
      <c r="G65" s="188"/>
      <c r="H65" s="86" t="s">
        <v>143</v>
      </c>
      <c r="I65" s="86">
        <v>258560</v>
      </c>
      <c r="J65" s="47" t="s">
        <v>30</v>
      </c>
      <c r="K65" s="47">
        <v>2024</v>
      </c>
      <c r="L65" s="105"/>
    </row>
    <row r="66" spans="1:12" ht="43.5">
      <c r="B66" s="229" t="s">
        <v>144</v>
      </c>
      <c r="C66" s="86" t="s">
        <v>145</v>
      </c>
      <c r="D66" s="110">
        <v>1</v>
      </c>
      <c r="E66" s="187" t="s">
        <v>30</v>
      </c>
      <c r="F66" s="187">
        <v>2024</v>
      </c>
      <c r="G66" s="188"/>
      <c r="H66" s="86" t="s">
        <v>145</v>
      </c>
      <c r="I66" s="110">
        <v>1</v>
      </c>
      <c r="J66" s="47" t="s">
        <v>30</v>
      </c>
      <c r="K66" s="47">
        <v>2024</v>
      </c>
      <c r="L66" s="105"/>
    </row>
    <row r="67" spans="1:12" ht="57.95">
      <c r="B67" s="230" t="s">
        <v>146</v>
      </c>
      <c r="C67" s="86" t="s">
        <v>147</v>
      </c>
      <c r="D67" s="110">
        <v>6</v>
      </c>
      <c r="E67" s="187" t="s">
        <v>30</v>
      </c>
      <c r="F67" s="187">
        <v>2024</v>
      </c>
      <c r="G67" s="188"/>
      <c r="H67" s="86" t="s">
        <v>147</v>
      </c>
      <c r="I67" s="110">
        <v>6</v>
      </c>
      <c r="J67" s="47" t="s">
        <v>30</v>
      </c>
      <c r="K67" s="47">
        <v>2024</v>
      </c>
      <c r="L67" s="105"/>
    </row>
    <row r="68" spans="1:12" ht="87">
      <c r="B68" s="229" t="s">
        <v>148</v>
      </c>
      <c r="C68" s="86" t="s">
        <v>149</v>
      </c>
      <c r="D68" s="86" t="s">
        <v>150</v>
      </c>
      <c r="E68" s="47" t="s">
        <v>30</v>
      </c>
      <c r="F68" s="47">
        <v>2024</v>
      </c>
      <c r="G68" s="73"/>
      <c r="H68" s="86" t="s">
        <v>150</v>
      </c>
      <c r="I68" s="86" t="s">
        <v>151</v>
      </c>
      <c r="J68" s="47" t="s">
        <v>30</v>
      </c>
      <c r="K68" s="47">
        <v>2024</v>
      </c>
      <c r="L68" s="105"/>
    </row>
    <row r="69" spans="1:12" ht="43.5">
      <c r="B69" s="231" t="s">
        <v>152</v>
      </c>
      <c r="C69" s="86" t="s">
        <v>145</v>
      </c>
      <c r="D69" s="110">
        <v>1</v>
      </c>
      <c r="E69" s="47" t="s">
        <v>30</v>
      </c>
      <c r="F69" s="47">
        <v>2024</v>
      </c>
      <c r="G69" s="73"/>
      <c r="H69" s="86" t="s">
        <v>145</v>
      </c>
      <c r="I69" s="104"/>
      <c r="J69" s="30"/>
      <c r="K69" s="60"/>
      <c r="L69" s="105"/>
    </row>
    <row r="70" spans="1:12" ht="15.95" customHeight="1">
      <c r="A70" s="106"/>
      <c r="B70" s="255" t="s">
        <v>153</v>
      </c>
      <c r="C70" s="256"/>
      <c r="D70" s="256"/>
      <c r="E70" s="256"/>
      <c r="F70" s="256"/>
      <c r="G70" s="256"/>
      <c r="H70" s="256"/>
      <c r="I70" s="173"/>
      <c r="J70" s="107"/>
      <c r="K70" s="108"/>
      <c r="L70" s="109"/>
    </row>
    <row r="71" spans="1:12" ht="72.599999999999994">
      <c r="B71" s="229" t="s">
        <v>154</v>
      </c>
      <c r="C71" s="86" t="s">
        <v>155</v>
      </c>
      <c r="D71" s="110">
        <v>3</v>
      </c>
      <c r="E71" s="47" t="s">
        <v>30</v>
      </c>
      <c r="F71" s="47">
        <v>2024</v>
      </c>
      <c r="G71" s="73"/>
      <c r="H71" s="86" t="s">
        <v>155</v>
      </c>
      <c r="I71" s="110">
        <v>3</v>
      </c>
      <c r="J71" s="47" t="s">
        <v>30</v>
      </c>
      <c r="K71" s="47">
        <v>2024</v>
      </c>
      <c r="L71" s="105"/>
    </row>
    <row r="72" spans="1:12" ht="15.95">
      <c r="A72" s="114"/>
      <c r="B72" s="232" t="s">
        <v>156</v>
      </c>
      <c r="C72" s="203"/>
      <c r="D72" s="204"/>
      <c r="E72" s="205"/>
      <c r="F72" s="205"/>
      <c r="G72" s="206"/>
      <c r="H72" s="206"/>
      <c r="I72" s="207"/>
      <c r="J72" s="111"/>
      <c r="K72" s="112"/>
      <c r="L72" s="113"/>
    </row>
    <row r="73" spans="1:12" ht="29.1">
      <c r="B73" s="229" t="s">
        <v>157</v>
      </c>
      <c r="C73" s="86" t="s">
        <v>158</v>
      </c>
      <c r="D73" s="110">
        <v>37</v>
      </c>
      <c r="E73" s="47" t="s">
        <v>30</v>
      </c>
      <c r="F73" s="47">
        <v>2024</v>
      </c>
      <c r="G73" s="73"/>
      <c r="H73" s="86" t="s">
        <v>159</v>
      </c>
      <c r="I73" s="104"/>
      <c r="J73" s="30"/>
      <c r="K73" s="60"/>
      <c r="L73" s="105"/>
    </row>
    <row r="74" spans="1:12" ht="57.95">
      <c r="B74" s="229" t="s">
        <v>160</v>
      </c>
      <c r="C74" s="86" t="s">
        <v>161</v>
      </c>
      <c r="D74" s="110">
        <v>3</v>
      </c>
      <c r="E74" s="47" t="s">
        <v>30</v>
      </c>
      <c r="F74" s="47">
        <v>2024</v>
      </c>
      <c r="G74" s="73"/>
      <c r="H74" s="86" t="s">
        <v>161</v>
      </c>
      <c r="I74" s="110">
        <v>3</v>
      </c>
      <c r="J74" s="47" t="s">
        <v>30</v>
      </c>
      <c r="K74" s="47">
        <v>2024</v>
      </c>
      <c r="L74" s="105"/>
    </row>
    <row r="75" spans="1:12" ht="15.95">
      <c r="B75" s="252" t="s">
        <v>162</v>
      </c>
      <c r="C75" s="253"/>
      <c r="D75" s="253"/>
      <c r="E75" s="253"/>
      <c r="F75" s="253"/>
      <c r="G75" s="253"/>
      <c r="H75" s="253"/>
      <c r="I75" s="254"/>
      <c r="J75" s="116"/>
      <c r="K75" s="115"/>
      <c r="L75" s="117"/>
    </row>
    <row r="76" spans="1:12">
      <c r="B76" s="233" t="s">
        <v>81</v>
      </c>
      <c r="C76" s="14"/>
      <c r="D76" s="14"/>
      <c r="E76" s="14"/>
      <c r="F76" s="14"/>
      <c r="G76" s="14"/>
      <c r="H76" s="14"/>
      <c r="I76" s="14"/>
      <c r="J76" s="15"/>
      <c r="K76" s="16"/>
      <c r="L76" s="17"/>
    </row>
    <row r="77" spans="1:12" ht="217.5">
      <c r="B77" s="129" t="s">
        <v>163</v>
      </c>
      <c r="C77" s="7"/>
      <c r="D77" s="7" t="s">
        <v>164</v>
      </c>
      <c r="E77" s="7"/>
      <c r="F77" s="7"/>
      <c r="G77" s="7"/>
      <c r="H77" s="7" t="s">
        <v>165</v>
      </c>
      <c r="I77" s="119" t="s">
        <v>166</v>
      </c>
      <c r="J77" s="8" t="s">
        <v>165</v>
      </c>
      <c r="K77" s="60">
        <v>44166</v>
      </c>
      <c r="L77" s="61" t="s">
        <v>167</v>
      </c>
    </row>
    <row r="78" spans="1:12">
      <c r="B78" s="294" t="s">
        <v>168</v>
      </c>
      <c r="C78" s="7"/>
      <c r="D78" s="7"/>
      <c r="E78" s="7"/>
      <c r="F78" s="7"/>
      <c r="G78" s="7"/>
      <c r="H78" s="272" t="s">
        <v>169</v>
      </c>
      <c r="I78" s="274" t="s">
        <v>170</v>
      </c>
      <c r="J78" s="120"/>
      <c r="K78" s="78"/>
      <c r="L78" s="61"/>
    </row>
    <row r="79" spans="1:12">
      <c r="B79" s="294"/>
      <c r="C79" s="7"/>
      <c r="D79" s="7"/>
      <c r="E79" s="7"/>
      <c r="F79" s="7"/>
      <c r="G79" s="7"/>
      <c r="H79" s="272"/>
      <c r="I79" s="274"/>
      <c r="J79" s="120"/>
      <c r="K79" s="78"/>
      <c r="L79" s="61"/>
    </row>
    <row r="80" spans="1:12" s="165" customFormat="1" ht="42" customHeight="1">
      <c r="A80" s="13"/>
      <c r="B80" s="255" t="s">
        <v>171</v>
      </c>
      <c r="C80" s="256"/>
      <c r="D80" s="256"/>
      <c r="E80" s="256"/>
      <c r="F80" s="256"/>
      <c r="G80" s="256"/>
      <c r="H80" s="256"/>
      <c r="I80" s="257"/>
      <c r="J80" s="15"/>
      <c r="K80" s="16"/>
      <c r="L80" s="17"/>
    </row>
    <row r="81" spans="1:12">
      <c r="B81" s="233" t="s">
        <v>81</v>
      </c>
      <c r="C81" s="14"/>
      <c r="D81" s="14"/>
      <c r="E81" s="14"/>
      <c r="F81" s="14"/>
      <c r="G81" s="14"/>
      <c r="H81" s="14"/>
      <c r="I81" s="14"/>
      <c r="J81" s="15"/>
      <c r="K81" s="16"/>
      <c r="L81" s="17"/>
    </row>
    <row r="82" spans="1:12" ht="43.5">
      <c r="B82" s="136" t="s">
        <v>172</v>
      </c>
      <c r="C82" s="73"/>
      <c r="D82" s="73"/>
      <c r="E82" s="73"/>
      <c r="F82" s="73"/>
      <c r="G82" s="73"/>
      <c r="H82" s="73" t="s">
        <v>173</v>
      </c>
      <c r="I82" s="30" t="s">
        <v>174</v>
      </c>
      <c r="J82" s="30" t="s">
        <v>53</v>
      </c>
      <c r="K82" s="60">
        <v>45261</v>
      </c>
      <c r="L82" s="61"/>
    </row>
    <row r="83" spans="1:12" ht="39.6" customHeight="1">
      <c r="B83" s="136" t="s">
        <v>175</v>
      </c>
      <c r="C83" s="121" t="s">
        <v>176</v>
      </c>
      <c r="D83" s="122">
        <v>84</v>
      </c>
      <c r="E83" s="121" t="s">
        <v>177</v>
      </c>
      <c r="F83" s="121">
        <v>2024</v>
      </c>
      <c r="G83" s="123"/>
      <c r="H83" s="123" t="s">
        <v>178</v>
      </c>
      <c r="I83" s="74">
        <f>1746+2749+876+733+3742+84</f>
        <v>9930</v>
      </c>
      <c r="J83" s="30" t="s">
        <v>53</v>
      </c>
      <c r="K83" s="60">
        <v>45261</v>
      </c>
      <c r="L83" s="61" t="s">
        <v>179</v>
      </c>
    </row>
    <row r="84" spans="1:12" ht="57.95">
      <c r="A84" s="53"/>
      <c r="B84" s="225" t="s">
        <v>180</v>
      </c>
      <c r="C84" s="180" t="s">
        <v>181</v>
      </c>
      <c r="D84" s="181" t="s">
        <v>181</v>
      </c>
      <c r="E84" s="181" t="s">
        <v>177</v>
      </c>
      <c r="F84" s="181">
        <v>2024</v>
      </c>
      <c r="G84" s="189"/>
      <c r="H84" s="181" t="s">
        <v>181</v>
      </c>
      <c r="I84" s="181" t="s">
        <v>181</v>
      </c>
      <c r="J84" s="124" t="s">
        <v>177</v>
      </c>
      <c r="K84" s="124">
        <v>2024</v>
      </c>
      <c r="L84" s="62"/>
    </row>
    <row r="85" spans="1:12" s="165" customFormat="1" ht="27.95" customHeight="1">
      <c r="A85" s="13"/>
      <c r="B85" s="255" t="s">
        <v>182</v>
      </c>
      <c r="C85" s="256"/>
      <c r="D85" s="256"/>
      <c r="E85" s="256"/>
      <c r="F85" s="256"/>
      <c r="G85" s="256"/>
      <c r="H85" s="256"/>
      <c r="I85" s="173"/>
      <c r="J85" s="15"/>
      <c r="K85" s="16"/>
      <c r="L85" s="17"/>
    </row>
    <row r="86" spans="1:12">
      <c r="B86" s="233" t="s">
        <v>81</v>
      </c>
      <c r="C86" s="14"/>
      <c r="D86" s="14"/>
      <c r="E86" s="14"/>
      <c r="F86" s="14"/>
      <c r="G86" s="14"/>
      <c r="H86" s="14"/>
      <c r="I86" s="14"/>
      <c r="J86" s="15"/>
      <c r="K86" s="16"/>
      <c r="L86" s="17"/>
    </row>
    <row r="87" spans="1:12" ht="72.599999999999994">
      <c r="B87" s="136" t="s">
        <v>183</v>
      </c>
      <c r="C87" s="121" t="s">
        <v>184</v>
      </c>
      <c r="D87" s="25"/>
      <c r="E87" s="25"/>
      <c r="F87" s="25"/>
      <c r="G87" s="25"/>
      <c r="H87" s="25" t="s">
        <v>185</v>
      </c>
      <c r="I87" s="74">
        <f>2524+2426+937+3742</f>
        <v>9629</v>
      </c>
      <c r="J87" s="30" t="s">
        <v>53</v>
      </c>
      <c r="K87" s="60">
        <v>45261</v>
      </c>
      <c r="L87" s="128" t="s">
        <v>186</v>
      </c>
    </row>
    <row r="88" spans="1:12" s="165" customFormat="1" ht="30.6" customHeight="1">
      <c r="A88" s="126"/>
      <c r="B88" s="255" t="s">
        <v>187</v>
      </c>
      <c r="C88" s="256"/>
      <c r="D88" s="256"/>
      <c r="E88" s="256"/>
      <c r="F88" s="256"/>
      <c r="G88" s="256"/>
      <c r="H88" s="256"/>
      <c r="I88" s="173"/>
      <c r="J88" s="75"/>
      <c r="K88" s="3"/>
      <c r="L88" s="127"/>
    </row>
    <row r="89" spans="1:12">
      <c r="B89" s="2" t="s">
        <v>81</v>
      </c>
      <c r="C89" s="14"/>
      <c r="D89" s="14"/>
      <c r="E89" s="14"/>
      <c r="F89" s="14"/>
      <c r="G89" s="14"/>
      <c r="H89" s="14"/>
      <c r="I89" s="14"/>
      <c r="J89" s="15"/>
      <c r="K89" s="16"/>
      <c r="L89" s="17"/>
    </row>
    <row r="90" spans="1:12" ht="43.5">
      <c r="B90" s="129" t="s">
        <v>188</v>
      </c>
      <c r="C90" s="25" t="s">
        <v>189</v>
      </c>
      <c r="D90" s="25">
        <f>278+66</f>
        <v>344</v>
      </c>
      <c r="E90" s="27" t="s">
        <v>30</v>
      </c>
      <c r="F90" s="27">
        <v>2024</v>
      </c>
      <c r="G90" s="73"/>
      <c r="H90" s="73" t="s">
        <v>190</v>
      </c>
      <c r="I90" s="74">
        <f>870+624+2749+205+5+292+344</f>
        <v>5089</v>
      </c>
      <c r="J90" s="30" t="s">
        <v>53</v>
      </c>
      <c r="K90" s="60">
        <v>45261</v>
      </c>
      <c r="L90" s="32"/>
    </row>
    <row r="91" spans="1:12" ht="15.95">
      <c r="B91" s="199" t="s">
        <v>76</v>
      </c>
      <c r="C91" s="200"/>
      <c r="D91" s="200"/>
      <c r="E91" s="200"/>
      <c r="F91" s="200"/>
      <c r="G91" s="200"/>
      <c r="H91" s="200"/>
      <c r="I91" s="200"/>
      <c r="J91" s="14"/>
      <c r="K91" s="14"/>
      <c r="L91" s="17"/>
    </row>
    <row r="92" spans="1:12" ht="57.95">
      <c r="B92" s="129" t="s">
        <v>191</v>
      </c>
      <c r="C92" s="25" t="s">
        <v>192</v>
      </c>
      <c r="D92" s="25">
        <v>499</v>
      </c>
      <c r="E92" s="27" t="s">
        <v>30</v>
      </c>
      <c r="F92" s="27">
        <v>2024</v>
      </c>
      <c r="G92" s="73"/>
      <c r="H92" s="73" t="s">
        <v>193</v>
      </c>
      <c r="I92" s="74">
        <f>351+18+624+2524+808+258+1127+499</f>
        <v>6209</v>
      </c>
      <c r="J92" s="30" t="s">
        <v>53</v>
      </c>
      <c r="K92" s="60">
        <v>45261</v>
      </c>
      <c r="L92" s="32"/>
    </row>
    <row r="93" spans="1:12" ht="43.5">
      <c r="B93" s="129" t="s">
        <v>194</v>
      </c>
      <c r="C93" s="25" t="s">
        <v>195</v>
      </c>
      <c r="D93" s="25">
        <v>141</v>
      </c>
      <c r="E93" s="27" t="s">
        <v>30</v>
      </c>
      <c r="F93" s="27">
        <v>2024</v>
      </c>
      <c r="G93" s="73"/>
      <c r="H93" s="73" t="s">
        <v>196</v>
      </c>
      <c r="I93" s="74">
        <f>114+895+77+286+222+205+141</f>
        <v>1940</v>
      </c>
      <c r="J93" s="30" t="s">
        <v>53</v>
      </c>
      <c r="K93" s="60">
        <v>45261</v>
      </c>
      <c r="L93" s="32"/>
    </row>
    <row r="94" spans="1:12" ht="15.95">
      <c r="B94" s="252" t="s">
        <v>197</v>
      </c>
      <c r="C94" s="253"/>
      <c r="D94" s="253"/>
      <c r="E94" s="253"/>
      <c r="F94" s="253"/>
      <c r="G94" s="253"/>
      <c r="H94" s="253"/>
      <c r="I94" s="254"/>
      <c r="J94" s="15"/>
      <c r="K94" s="16"/>
      <c r="L94" s="131"/>
    </row>
    <row r="95" spans="1:12" ht="29.1">
      <c r="B95" s="132" t="s">
        <v>27</v>
      </c>
      <c r="C95" s="7"/>
      <c r="D95" s="7" t="s">
        <v>198</v>
      </c>
      <c r="E95" s="7"/>
      <c r="F95" s="7"/>
      <c r="G95" s="7"/>
      <c r="H95" s="118" t="s">
        <v>169</v>
      </c>
      <c r="I95" s="273" t="s">
        <v>199</v>
      </c>
      <c r="J95" s="15"/>
      <c r="K95" s="16"/>
      <c r="L95" s="17"/>
    </row>
    <row r="96" spans="1:12" ht="29.1">
      <c r="B96" s="133" t="s">
        <v>200</v>
      </c>
      <c r="C96" s="7"/>
      <c r="D96" s="7" t="s">
        <v>201</v>
      </c>
      <c r="E96" s="7"/>
      <c r="F96" s="7"/>
      <c r="G96" s="7"/>
      <c r="H96" s="118"/>
      <c r="I96" s="273"/>
      <c r="J96" s="120"/>
      <c r="K96" s="78"/>
      <c r="L96" s="61"/>
    </row>
    <row r="97" spans="1:12" ht="43.5">
      <c r="B97" s="135"/>
      <c r="C97" s="7"/>
      <c r="D97" s="7" t="s">
        <v>202</v>
      </c>
      <c r="E97" s="7"/>
      <c r="F97" s="7"/>
      <c r="G97" s="7"/>
      <c r="H97" s="118"/>
      <c r="I97" s="273"/>
      <c r="J97" s="120"/>
      <c r="K97" s="78"/>
      <c r="L97" s="61"/>
    </row>
    <row r="98" spans="1:12">
      <c r="B98" s="135"/>
      <c r="C98" s="7"/>
      <c r="D98" s="7"/>
      <c r="E98" s="7"/>
      <c r="F98" s="7"/>
      <c r="G98" s="7"/>
      <c r="H98" s="118"/>
      <c r="I98" s="273"/>
      <c r="J98" s="120"/>
      <c r="K98" s="78"/>
      <c r="L98" s="61"/>
    </row>
    <row r="99" spans="1:12">
      <c r="B99" s="135"/>
      <c r="C99" s="6"/>
      <c r="D99" s="6"/>
      <c r="E99" s="6"/>
      <c r="F99" s="6"/>
      <c r="G99" s="6"/>
      <c r="H99" s="134"/>
      <c r="I99" s="273"/>
      <c r="J99" s="120"/>
      <c r="K99" s="78"/>
      <c r="L99" s="61"/>
    </row>
    <row r="100" spans="1:12" s="165" customFormat="1" ht="34.5" customHeight="1">
      <c r="A100" s="126"/>
      <c r="B100" s="255" t="s">
        <v>203</v>
      </c>
      <c r="C100" s="256"/>
      <c r="D100" s="256"/>
      <c r="E100" s="256"/>
      <c r="F100" s="256"/>
      <c r="G100" s="256"/>
      <c r="H100" s="256"/>
      <c r="I100" s="257"/>
      <c r="J100" s="75"/>
      <c r="K100" s="3"/>
      <c r="L100" s="127"/>
    </row>
    <row r="101" spans="1:12">
      <c r="B101" s="208" t="s">
        <v>27</v>
      </c>
      <c r="C101" s="209"/>
      <c r="D101" s="209"/>
      <c r="E101" s="209"/>
      <c r="F101" s="209"/>
      <c r="G101" s="209"/>
      <c r="H101" s="209"/>
      <c r="I101" s="210"/>
      <c r="J101" s="15"/>
      <c r="K101" s="16"/>
      <c r="L101" s="17"/>
    </row>
    <row r="102" spans="1:12" ht="29.1">
      <c r="B102" s="136" t="s">
        <v>204</v>
      </c>
      <c r="C102" s="118"/>
      <c r="D102" s="118"/>
      <c r="E102" s="118"/>
      <c r="F102" s="118"/>
      <c r="G102" s="118"/>
      <c r="H102" s="118" t="s">
        <v>205</v>
      </c>
      <c r="I102" s="137">
        <f>42251+45618</f>
        <v>87869</v>
      </c>
      <c r="J102" s="30" t="s">
        <v>53</v>
      </c>
      <c r="K102" s="60">
        <v>44166</v>
      </c>
      <c r="L102" s="61"/>
    </row>
    <row r="103" spans="1:12" ht="43.5">
      <c r="B103" s="136" t="s">
        <v>206</v>
      </c>
      <c r="C103" s="63"/>
      <c r="D103" s="63"/>
      <c r="E103" s="63"/>
      <c r="F103" s="63"/>
      <c r="G103" s="63"/>
      <c r="H103" s="63" t="s">
        <v>207</v>
      </c>
      <c r="I103" s="31">
        <f>27+10+8+1</f>
        <v>46</v>
      </c>
      <c r="J103" s="30" t="s">
        <v>53</v>
      </c>
      <c r="K103" s="60">
        <v>44166</v>
      </c>
      <c r="L103" s="32"/>
    </row>
    <row r="104" spans="1:12" ht="87">
      <c r="B104" s="136" t="s">
        <v>208</v>
      </c>
      <c r="C104" s="63"/>
      <c r="D104" s="63"/>
      <c r="E104" s="63"/>
      <c r="F104" s="63"/>
      <c r="G104" s="63"/>
      <c r="H104" s="63" t="s">
        <v>209</v>
      </c>
      <c r="I104" s="74">
        <f>42252+20894+92+760+1378</f>
        <v>65376</v>
      </c>
      <c r="J104" s="30" t="s">
        <v>210</v>
      </c>
      <c r="K104" s="60">
        <v>44166</v>
      </c>
      <c r="L104" s="32"/>
    </row>
    <row r="105" spans="1:12" ht="43.5">
      <c r="B105" s="136" t="s">
        <v>211</v>
      </c>
      <c r="C105" s="11"/>
      <c r="D105" s="11"/>
      <c r="E105" s="11"/>
      <c r="F105" s="11"/>
      <c r="G105" s="11"/>
      <c r="H105" s="11" t="s">
        <v>212</v>
      </c>
      <c r="I105" s="30">
        <v>124</v>
      </c>
      <c r="J105" s="120"/>
      <c r="K105" s="78"/>
      <c r="L105" s="61"/>
    </row>
    <row r="106" spans="1:12" ht="43.5">
      <c r="B106" s="136" t="s">
        <v>213</v>
      </c>
      <c r="C106" s="11"/>
      <c r="D106" s="11"/>
      <c r="E106" s="11"/>
      <c r="F106" s="11"/>
      <c r="G106" s="11"/>
      <c r="H106" s="11" t="s">
        <v>212</v>
      </c>
      <c r="I106" s="30">
        <v>124</v>
      </c>
      <c r="J106" s="120"/>
      <c r="K106" s="78"/>
      <c r="L106" s="61"/>
    </row>
    <row r="107" spans="1:12" ht="29.1">
      <c r="A107" s="53"/>
      <c r="B107" s="234" t="s">
        <v>214</v>
      </c>
      <c r="C107" s="161" t="s">
        <v>215</v>
      </c>
      <c r="D107" s="162" t="s">
        <v>215</v>
      </c>
      <c r="E107" s="161" t="s">
        <v>57</v>
      </c>
      <c r="F107" s="161">
        <v>2023</v>
      </c>
      <c r="G107" s="161"/>
      <c r="H107" s="161" t="s">
        <v>215</v>
      </c>
      <c r="I107" s="162" t="s">
        <v>215</v>
      </c>
      <c r="J107" s="43">
        <v>2023</v>
      </c>
      <c r="K107" s="80"/>
      <c r="L107" s="62"/>
    </row>
    <row r="108" spans="1:12" ht="87">
      <c r="A108" s="53"/>
      <c r="B108" s="235" t="s">
        <v>216</v>
      </c>
      <c r="C108" s="161" t="s">
        <v>217</v>
      </c>
      <c r="D108" s="162" t="s">
        <v>217</v>
      </c>
      <c r="E108" s="161" t="s">
        <v>57</v>
      </c>
      <c r="F108" s="161">
        <v>2023</v>
      </c>
      <c r="G108" s="161"/>
      <c r="H108" s="161" t="s">
        <v>217</v>
      </c>
      <c r="I108" s="161" t="s">
        <v>217</v>
      </c>
      <c r="J108" s="43" t="s">
        <v>57</v>
      </c>
      <c r="K108" s="43">
        <v>2023</v>
      </c>
      <c r="L108" s="62"/>
    </row>
    <row r="109" spans="1:12" ht="43.5">
      <c r="A109" s="53"/>
      <c r="B109" s="234" t="s">
        <v>218</v>
      </c>
      <c r="C109" s="161" t="s">
        <v>219</v>
      </c>
      <c r="D109" s="162" t="s">
        <v>219</v>
      </c>
      <c r="E109" s="161" t="s">
        <v>57</v>
      </c>
      <c r="F109" s="161">
        <v>2024</v>
      </c>
      <c r="G109" s="161"/>
      <c r="H109" s="161" t="s">
        <v>219</v>
      </c>
      <c r="I109" s="161" t="s">
        <v>219</v>
      </c>
      <c r="J109" s="43" t="s">
        <v>57</v>
      </c>
      <c r="K109" s="43">
        <v>2024</v>
      </c>
      <c r="L109" s="62"/>
    </row>
    <row r="110" spans="1:12" ht="15.95">
      <c r="A110" s="66"/>
      <c r="B110" s="232" t="s">
        <v>76</v>
      </c>
      <c r="C110" s="201"/>
      <c r="D110" s="201"/>
      <c r="E110" s="201"/>
      <c r="F110" s="201"/>
      <c r="G110" s="201"/>
      <c r="H110" s="201"/>
      <c r="I110" s="202"/>
      <c r="J110" s="125"/>
      <c r="K110" s="81"/>
      <c r="L110" s="70"/>
    </row>
    <row r="111" spans="1:12" ht="29.1">
      <c r="A111" s="66"/>
      <c r="B111" s="236" t="s">
        <v>220</v>
      </c>
      <c r="C111" s="161"/>
      <c r="D111" s="161"/>
      <c r="E111" s="161"/>
      <c r="F111" s="161"/>
      <c r="G111" s="161"/>
      <c r="H111" s="161"/>
      <c r="I111" s="179">
        <v>25090</v>
      </c>
      <c r="J111" s="125"/>
      <c r="K111" s="81"/>
      <c r="L111" s="70"/>
    </row>
    <row r="112" spans="1:12" ht="39.950000000000003" customHeight="1">
      <c r="A112" s="53"/>
      <c r="B112" s="255" t="s">
        <v>221</v>
      </c>
      <c r="C112" s="256"/>
      <c r="D112" s="256"/>
      <c r="E112" s="256"/>
      <c r="F112" s="256"/>
      <c r="G112" s="256"/>
      <c r="H112" s="256"/>
      <c r="I112" s="173"/>
      <c r="J112" s="75"/>
      <c r="K112" s="3"/>
      <c r="L112" s="127"/>
    </row>
    <row r="113" spans="1:12" s="165" customFormat="1">
      <c r="A113" s="13"/>
      <c r="B113" s="2" t="s">
        <v>27</v>
      </c>
      <c r="C113" s="14"/>
      <c r="D113" s="14"/>
      <c r="E113" s="14"/>
      <c r="F113" s="14"/>
      <c r="G113" s="14"/>
      <c r="H113" s="14"/>
      <c r="I113" s="14"/>
      <c r="J113" s="15"/>
      <c r="K113" s="16"/>
      <c r="L113" s="17"/>
    </row>
    <row r="114" spans="1:12" s="170" customFormat="1" ht="116.1">
      <c r="A114" s="138"/>
      <c r="B114" s="139" t="s">
        <v>222</v>
      </c>
      <c r="C114" s="25" t="s">
        <v>223</v>
      </c>
      <c r="D114" s="27" t="s">
        <v>224</v>
      </c>
      <c r="E114" s="25" t="s">
        <v>30</v>
      </c>
      <c r="F114" s="25">
        <v>2024</v>
      </c>
      <c r="G114" s="25"/>
      <c r="H114" s="25" t="s">
        <v>225</v>
      </c>
      <c r="I114" s="87" t="s">
        <v>226</v>
      </c>
      <c r="J114" s="30" t="s">
        <v>210</v>
      </c>
      <c r="K114" s="60">
        <v>45627</v>
      </c>
      <c r="L114" s="140"/>
    </row>
    <row r="115" spans="1:12" s="165" customFormat="1" ht="43.5">
      <c r="A115" s="13"/>
      <c r="B115" s="136" t="s">
        <v>227</v>
      </c>
      <c r="C115" s="5" t="s">
        <v>228</v>
      </c>
      <c r="D115" s="26">
        <f>925-188</f>
        <v>737</v>
      </c>
      <c r="E115" s="25" t="s">
        <v>30</v>
      </c>
      <c r="F115" s="25">
        <v>2024</v>
      </c>
      <c r="G115" s="5"/>
      <c r="H115" s="5" t="s">
        <v>229</v>
      </c>
      <c r="I115" s="87">
        <f>641+700+198+271+188+737</f>
        <v>2735</v>
      </c>
      <c r="J115" s="30" t="s">
        <v>210</v>
      </c>
      <c r="K115" s="60">
        <v>45627</v>
      </c>
      <c r="L115" s="141"/>
    </row>
    <row r="116" spans="1:12" ht="72.599999999999994">
      <c r="B116" s="142" t="s">
        <v>230</v>
      </c>
      <c r="C116" s="47"/>
      <c r="D116" s="47"/>
      <c r="E116" s="47"/>
      <c r="F116" s="47"/>
      <c r="G116" s="47"/>
      <c r="H116" s="47" t="s">
        <v>231</v>
      </c>
      <c r="I116" s="30" t="s">
        <v>232</v>
      </c>
      <c r="J116" s="30" t="s">
        <v>53</v>
      </c>
      <c r="K116" s="60">
        <v>45261</v>
      </c>
      <c r="L116" s="32"/>
    </row>
    <row r="117" spans="1:12" ht="72.599999999999994">
      <c r="A117" s="53"/>
      <c r="B117" s="225" t="s">
        <v>233</v>
      </c>
      <c r="C117" s="182" t="s">
        <v>234</v>
      </c>
      <c r="D117" s="182" t="s">
        <v>234</v>
      </c>
      <c r="E117" s="182" t="s">
        <v>85</v>
      </c>
      <c r="F117" s="182">
        <v>2024</v>
      </c>
      <c r="G117" s="182"/>
      <c r="H117" s="182" t="s">
        <v>234</v>
      </c>
      <c r="I117" s="182" t="s">
        <v>234</v>
      </c>
      <c r="J117" s="143" t="s">
        <v>85</v>
      </c>
      <c r="K117" s="143">
        <v>2024</v>
      </c>
      <c r="L117" s="130"/>
    </row>
    <row r="118" spans="1:12" ht="72.599999999999994">
      <c r="A118" s="53"/>
      <c r="B118" s="225" t="s">
        <v>235</v>
      </c>
      <c r="C118" s="182" t="s">
        <v>236</v>
      </c>
      <c r="D118" s="26">
        <f>925-188</f>
        <v>737</v>
      </c>
      <c r="E118" s="182" t="s">
        <v>85</v>
      </c>
      <c r="F118" s="182">
        <v>2024</v>
      </c>
      <c r="G118" s="182"/>
      <c r="H118" s="182" t="s">
        <v>236</v>
      </c>
      <c r="I118" s="183">
        <v>2735</v>
      </c>
      <c r="J118" s="143" t="s">
        <v>85</v>
      </c>
      <c r="K118" s="143">
        <v>2024</v>
      </c>
      <c r="L118" s="130"/>
    </row>
    <row r="119" spans="1:12" ht="43.5">
      <c r="A119" s="53"/>
      <c r="B119" s="225" t="s">
        <v>237</v>
      </c>
      <c r="C119" s="182" t="s">
        <v>238</v>
      </c>
      <c r="D119" s="172">
        <f>1+10+17+1</f>
        <v>29</v>
      </c>
      <c r="E119" s="182" t="s">
        <v>85</v>
      </c>
      <c r="F119" s="182">
        <v>2024</v>
      </c>
      <c r="G119" s="182"/>
      <c r="H119" s="182" t="s">
        <v>238</v>
      </c>
      <c r="I119" s="182">
        <f>1+10+17+1</f>
        <v>29</v>
      </c>
      <c r="J119" s="143" t="s">
        <v>85</v>
      </c>
      <c r="K119" s="143">
        <v>2024</v>
      </c>
      <c r="L119" s="130"/>
    </row>
    <row r="120" spans="1:12" ht="43.5">
      <c r="A120" s="53"/>
      <c r="B120" s="225" t="s">
        <v>239</v>
      </c>
      <c r="C120" s="182" t="s">
        <v>240</v>
      </c>
      <c r="D120" s="172">
        <f>4</f>
        <v>4</v>
      </c>
      <c r="E120" s="182" t="s">
        <v>85</v>
      </c>
      <c r="F120" s="182">
        <v>2024</v>
      </c>
      <c r="G120" s="182"/>
      <c r="H120" s="182" t="s">
        <v>240</v>
      </c>
      <c r="I120" s="182">
        <f>4</f>
        <v>4</v>
      </c>
      <c r="J120" s="143" t="s">
        <v>85</v>
      </c>
      <c r="K120" s="143">
        <v>2024</v>
      </c>
      <c r="L120" s="130"/>
    </row>
    <row r="121" spans="1:12" ht="29.1">
      <c r="A121" s="53"/>
      <c r="B121" s="223" t="s">
        <v>241</v>
      </c>
      <c r="C121" s="161" t="s">
        <v>242</v>
      </c>
      <c r="D121" s="162">
        <v>460</v>
      </c>
      <c r="E121" s="160" t="s">
        <v>30</v>
      </c>
      <c r="F121" s="160">
        <v>2024</v>
      </c>
      <c r="G121" s="160"/>
      <c r="H121" s="160"/>
      <c r="I121" s="162"/>
      <c r="J121" s="39"/>
      <c r="K121" s="42"/>
      <c r="L121" s="130"/>
    </row>
    <row r="122" spans="1:12" ht="24.95" customHeight="1">
      <c r="B122" s="211" t="s">
        <v>76</v>
      </c>
      <c r="C122" s="212"/>
      <c r="D122" s="212"/>
      <c r="E122" s="212"/>
      <c r="F122" s="212"/>
      <c r="G122" s="212"/>
      <c r="H122" s="212"/>
      <c r="I122" s="200"/>
      <c r="J122" s="15"/>
      <c r="K122" s="16"/>
      <c r="L122" s="17"/>
    </row>
    <row r="123" spans="1:12" ht="101.45">
      <c r="B123" s="144" t="s">
        <v>243</v>
      </c>
      <c r="C123" s="25" t="s">
        <v>244</v>
      </c>
      <c r="D123" s="26">
        <f>280+298+2291</f>
        <v>2869</v>
      </c>
      <c r="E123" s="25" t="s">
        <v>30</v>
      </c>
      <c r="F123" s="25">
        <v>2024</v>
      </c>
      <c r="G123" s="73"/>
      <c r="H123" s="73" t="s">
        <v>245</v>
      </c>
      <c r="I123" s="74">
        <f>18511+650+9175+67+760+1378+16451+578+382+404+228+4052+169+2869</f>
        <v>55674</v>
      </c>
      <c r="J123" s="30" t="s">
        <v>210</v>
      </c>
      <c r="K123" s="60">
        <v>45261</v>
      </c>
      <c r="L123" s="32"/>
    </row>
    <row r="124" spans="1:12" ht="15.95">
      <c r="B124" s="252" t="s">
        <v>246</v>
      </c>
      <c r="C124" s="253"/>
      <c r="D124" s="253"/>
      <c r="E124" s="253"/>
      <c r="F124" s="253"/>
      <c r="G124" s="253"/>
      <c r="H124" s="253"/>
      <c r="I124" s="254"/>
      <c r="J124" s="116"/>
      <c r="K124" s="115"/>
      <c r="L124" s="117"/>
    </row>
    <row r="125" spans="1:12">
      <c r="B125" s="132" t="s">
        <v>27</v>
      </c>
      <c r="C125" s="22"/>
      <c r="D125" s="22"/>
      <c r="E125" s="22"/>
      <c r="F125" s="22"/>
      <c r="G125" s="22"/>
      <c r="H125" s="22"/>
      <c r="I125" s="14"/>
      <c r="J125" s="15"/>
      <c r="K125" s="16"/>
      <c r="L125" s="17"/>
    </row>
    <row r="126" spans="1:12" ht="29.1">
      <c r="B126" s="278" t="s">
        <v>247</v>
      </c>
      <c r="C126" s="5"/>
      <c r="D126" s="5"/>
      <c r="E126" s="5"/>
      <c r="F126" s="5"/>
      <c r="G126" s="5"/>
      <c r="H126" s="5" t="s">
        <v>248</v>
      </c>
      <c r="I126" s="274" t="s">
        <v>249</v>
      </c>
      <c r="J126" s="268">
        <v>43800</v>
      </c>
      <c r="K126" s="78"/>
      <c r="L126" s="61"/>
    </row>
    <row r="127" spans="1:12" s="171" customFormat="1" ht="29.1">
      <c r="A127" s="145"/>
      <c r="B127" s="278"/>
      <c r="C127" s="27"/>
      <c r="D127" s="27"/>
      <c r="E127" s="27"/>
      <c r="F127" s="27"/>
      <c r="G127" s="27"/>
      <c r="H127" s="27" t="s">
        <v>169</v>
      </c>
      <c r="I127" s="274"/>
      <c r="J127" s="268"/>
      <c r="K127" s="8"/>
      <c r="L127" s="10"/>
    </row>
    <row r="128" spans="1:12" ht="43.5">
      <c r="B128" s="278"/>
      <c r="C128" s="5"/>
      <c r="D128" s="5"/>
      <c r="E128" s="5"/>
      <c r="F128" s="5"/>
      <c r="G128" s="5"/>
      <c r="H128" s="5" t="s">
        <v>250</v>
      </c>
      <c r="I128" s="274"/>
      <c r="J128" s="268"/>
      <c r="K128" s="78"/>
      <c r="L128" s="61"/>
    </row>
    <row r="129" spans="1:12" s="165" customFormat="1" ht="41.1" customHeight="1">
      <c r="A129" s="13"/>
      <c r="B129" s="255" t="s">
        <v>251</v>
      </c>
      <c r="C129" s="256"/>
      <c r="D129" s="256"/>
      <c r="E129" s="256"/>
      <c r="F129" s="256"/>
      <c r="G129" s="256"/>
      <c r="H129" s="256"/>
      <c r="I129" s="257"/>
      <c r="J129" s="15"/>
      <c r="K129" s="16"/>
      <c r="L129" s="17"/>
    </row>
    <row r="130" spans="1:12">
      <c r="B130" s="132" t="s">
        <v>27</v>
      </c>
      <c r="C130" s="22"/>
      <c r="D130" s="22"/>
      <c r="E130" s="22"/>
      <c r="F130" s="22"/>
      <c r="G130" s="22"/>
      <c r="H130" s="22"/>
      <c r="I130" s="14"/>
      <c r="J130" s="15"/>
      <c r="K130" s="16"/>
      <c r="L130" s="17"/>
    </row>
    <row r="131" spans="1:12">
      <c r="B131" s="276" t="s">
        <v>252</v>
      </c>
      <c r="C131" s="27" t="s">
        <v>253</v>
      </c>
      <c r="D131" s="27">
        <v>23</v>
      </c>
      <c r="E131" s="27" t="s">
        <v>30</v>
      </c>
      <c r="F131" s="27">
        <v>2024</v>
      </c>
      <c r="G131" s="27"/>
      <c r="H131" s="275" t="s">
        <v>254</v>
      </c>
      <c r="I131" s="274" t="s">
        <v>255</v>
      </c>
      <c r="J131" s="290" t="s">
        <v>85</v>
      </c>
      <c r="K131" s="291">
        <v>44896</v>
      </c>
      <c r="L131" s="292"/>
    </row>
    <row r="132" spans="1:12">
      <c r="B132" s="277"/>
      <c r="C132" s="27"/>
      <c r="D132" s="27"/>
      <c r="E132" s="27"/>
      <c r="F132" s="27"/>
      <c r="G132" s="27"/>
      <c r="H132" s="275"/>
      <c r="I132" s="274"/>
      <c r="J132" s="290"/>
      <c r="K132" s="291"/>
      <c r="L132" s="292"/>
    </row>
    <row r="133" spans="1:12" ht="57.95">
      <c r="B133" s="142" t="s">
        <v>256</v>
      </c>
      <c r="C133" s="27" t="s">
        <v>257</v>
      </c>
      <c r="D133" s="25">
        <f>29+124</f>
        <v>153</v>
      </c>
      <c r="E133" s="25" t="s">
        <v>30</v>
      </c>
      <c r="F133" s="25">
        <v>2024</v>
      </c>
      <c r="G133" s="25"/>
      <c r="H133" s="25" t="s">
        <v>258</v>
      </c>
      <c r="I133" s="30" t="s">
        <v>259</v>
      </c>
      <c r="J133" s="30" t="s">
        <v>210</v>
      </c>
      <c r="K133" s="60">
        <v>45627</v>
      </c>
      <c r="L133" s="146"/>
    </row>
    <row r="134" spans="1:12" ht="43.5">
      <c r="B134" s="142" t="s">
        <v>260</v>
      </c>
      <c r="C134" s="37" t="s">
        <v>261</v>
      </c>
      <c r="D134" s="47">
        <v>52</v>
      </c>
      <c r="E134" s="47" t="s">
        <v>30</v>
      </c>
      <c r="F134" s="47">
        <v>2024</v>
      </c>
      <c r="G134" s="47"/>
      <c r="H134" s="47" t="s">
        <v>262</v>
      </c>
      <c r="I134" s="51">
        <f>18+23+29+363+18+354+52</f>
        <v>857</v>
      </c>
      <c r="J134" s="51" t="s">
        <v>53</v>
      </c>
      <c r="K134" s="95">
        <v>45627</v>
      </c>
      <c r="L134" s="147"/>
    </row>
    <row r="135" spans="1:12" ht="15.95">
      <c r="B135" s="211" t="s">
        <v>76</v>
      </c>
      <c r="C135" s="212"/>
      <c r="D135" s="212"/>
      <c r="E135" s="212"/>
      <c r="F135" s="212"/>
      <c r="G135" s="212"/>
      <c r="H135" s="212"/>
      <c r="I135" s="212"/>
      <c r="J135" s="76"/>
      <c r="K135" s="21"/>
      <c r="L135" s="77"/>
    </row>
    <row r="136" spans="1:12">
      <c r="B136" s="276" t="s">
        <v>263</v>
      </c>
      <c r="C136" s="287" t="s">
        <v>264</v>
      </c>
      <c r="D136" s="287">
        <v>2</v>
      </c>
      <c r="E136" s="287" t="s">
        <v>265</v>
      </c>
      <c r="F136" s="287">
        <v>2024</v>
      </c>
      <c r="G136" s="287"/>
      <c r="H136" s="5" t="s">
        <v>266</v>
      </c>
      <c r="I136" s="274">
        <f>1+3+84+5+33+2</f>
        <v>128</v>
      </c>
      <c r="J136" s="65" t="s">
        <v>112</v>
      </c>
      <c r="K136" s="65" t="s">
        <v>267</v>
      </c>
      <c r="L136" s="61"/>
    </row>
    <row r="137" spans="1:12">
      <c r="B137" s="293"/>
      <c r="C137" s="288"/>
      <c r="D137" s="288"/>
      <c r="E137" s="288"/>
      <c r="F137" s="288"/>
      <c r="G137" s="288"/>
      <c r="H137" s="25" t="s">
        <v>268</v>
      </c>
      <c r="I137" s="274"/>
      <c r="J137" s="30" t="s">
        <v>53</v>
      </c>
      <c r="K137" s="60">
        <v>44166</v>
      </c>
      <c r="L137" s="61"/>
    </row>
    <row r="138" spans="1:12">
      <c r="B138" s="277"/>
      <c r="C138" s="289"/>
      <c r="D138" s="289"/>
      <c r="E138" s="289"/>
      <c r="F138" s="289"/>
      <c r="G138" s="289"/>
      <c r="H138" s="25" t="s">
        <v>269</v>
      </c>
      <c r="I138" s="274"/>
      <c r="J138" s="30" t="s">
        <v>53</v>
      </c>
      <c r="K138" s="60">
        <v>44166</v>
      </c>
      <c r="L138" s="61"/>
    </row>
    <row r="139" spans="1:12" ht="43.5">
      <c r="B139" s="133" t="s">
        <v>270</v>
      </c>
      <c r="C139" s="47"/>
      <c r="D139" s="47"/>
      <c r="E139" s="47"/>
      <c r="F139" s="47"/>
      <c r="G139" s="47"/>
      <c r="H139" s="47" t="s">
        <v>271</v>
      </c>
      <c r="I139" s="51" t="s">
        <v>272</v>
      </c>
      <c r="J139" s="51" t="s">
        <v>53</v>
      </c>
      <c r="K139" s="95">
        <v>44166</v>
      </c>
      <c r="L139" s="147"/>
    </row>
    <row r="140" spans="1:12" ht="15.95">
      <c r="B140" s="279" t="s">
        <v>273</v>
      </c>
      <c r="C140" s="280"/>
      <c r="D140" s="280"/>
      <c r="E140" s="280"/>
      <c r="F140" s="280"/>
      <c r="G140" s="280"/>
      <c r="H140" s="280"/>
      <c r="I140" s="280"/>
      <c r="J140" s="280"/>
      <c r="K140" s="280"/>
      <c r="L140" s="281"/>
    </row>
    <row r="141" spans="1:12">
      <c r="B141" s="237" t="s">
        <v>81</v>
      </c>
      <c r="C141" s="149"/>
      <c r="D141" s="149"/>
      <c r="E141" s="149"/>
      <c r="F141" s="149"/>
      <c r="G141" s="149"/>
      <c r="H141" s="149"/>
      <c r="I141" s="149"/>
      <c r="J141" s="150"/>
      <c r="K141" s="148"/>
      <c r="L141" s="238"/>
    </row>
    <row r="142" spans="1:12" ht="116.1">
      <c r="B142" s="133" t="s">
        <v>274</v>
      </c>
      <c r="C142" s="282" t="s">
        <v>275</v>
      </c>
      <c r="D142" s="25" t="s">
        <v>276</v>
      </c>
      <c r="E142" s="35" t="s">
        <v>265</v>
      </c>
      <c r="F142" s="35">
        <v>2024</v>
      </c>
      <c r="G142" s="79"/>
      <c r="H142" s="282" t="s">
        <v>277</v>
      </c>
      <c r="I142" s="31" t="s">
        <v>276</v>
      </c>
      <c r="J142" s="151"/>
      <c r="K142" s="152"/>
      <c r="L142" s="32"/>
    </row>
    <row r="143" spans="1:12" s="174" customFormat="1" ht="101.45">
      <c r="B143" s="225" t="s">
        <v>278</v>
      </c>
      <c r="C143" s="283"/>
      <c r="D143" s="160" t="s">
        <v>279</v>
      </c>
      <c r="E143" s="184" t="s">
        <v>265</v>
      </c>
      <c r="F143" s="184">
        <v>2024</v>
      </c>
      <c r="G143" s="178"/>
      <c r="H143" s="283"/>
      <c r="I143" s="160" t="s">
        <v>279</v>
      </c>
      <c r="J143" s="185"/>
      <c r="K143" s="186"/>
      <c r="L143" s="239"/>
    </row>
    <row r="144" spans="1:12">
      <c r="B144" s="240" t="s">
        <v>27</v>
      </c>
      <c r="C144" s="29"/>
      <c r="D144" s="29"/>
      <c r="E144" s="29"/>
      <c r="F144" s="29"/>
      <c r="G144" s="29"/>
      <c r="H144" s="29"/>
      <c r="I144" s="29"/>
      <c r="J144" s="151"/>
      <c r="K144" s="152"/>
      <c r="L144" s="32"/>
    </row>
    <row r="145" spans="2:12" ht="72.599999999999994">
      <c r="B145" s="231" t="s">
        <v>280</v>
      </c>
      <c r="C145" s="25" t="s">
        <v>281</v>
      </c>
      <c r="D145" s="213" t="s">
        <v>282</v>
      </c>
      <c r="E145" s="214"/>
      <c r="F145" s="214"/>
      <c r="G145" s="214"/>
      <c r="H145" s="214"/>
      <c r="I145" s="121" t="s">
        <v>282</v>
      </c>
      <c r="J145" s="151"/>
      <c r="K145" s="152"/>
      <c r="L145" s="32"/>
    </row>
    <row r="146" spans="2:12" ht="72.599999999999994">
      <c r="B146" s="241" t="s">
        <v>283</v>
      </c>
      <c r="C146" s="79"/>
      <c r="D146" s="213" t="s">
        <v>284</v>
      </c>
      <c r="E146" s="214"/>
      <c r="F146" s="214"/>
      <c r="G146" s="214"/>
      <c r="H146" s="214"/>
      <c r="I146" s="198" t="s">
        <v>284</v>
      </c>
      <c r="J146" s="151"/>
      <c r="K146" s="152"/>
      <c r="L146" s="32"/>
    </row>
    <row r="147" spans="2:12" ht="15.95">
      <c r="B147" s="232" t="s">
        <v>76</v>
      </c>
      <c r="C147" s="217"/>
      <c r="D147" s="217"/>
      <c r="E147" s="217"/>
      <c r="F147" s="217"/>
      <c r="G147" s="217"/>
      <c r="H147" s="217"/>
      <c r="I147" s="217"/>
      <c r="J147" s="151"/>
      <c r="K147" s="152"/>
      <c r="L147" s="32"/>
    </row>
    <row r="148" spans="2:12" ht="29.1">
      <c r="B148" s="242" t="s">
        <v>285</v>
      </c>
      <c r="C148" s="79"/>
      <c r="D148" s="122" t="s">
        <v>286</v>
      </c>
      <c r="E148" s="214"/>
      <c r="F148" s="214"/>
      <c r="G148" s="214"/>
      <c r="H148" s="214"/>
      <c r="I148" s="198" t="s">
        <v>286</v>
      </c>
      <c r="J148" s="151"/>
      <c r="K148" s="152"/>
      <c r="L148" s="32"/>
    </row>
    <row r="149" spans="2:12">
      <c r="B149" s="243" t="s">
        <v>27</v>
      </c>
      <c r="C149" s="79"/>
      <c r="D149" s="214"/>
      <c r="E149" s="214"/>
      <c r="F149" s="214"/>
      <c r="G149" s="214"/>
      <c r="H149" s="214"/>
      <c r="I149" s="215"/>
      <c r="J149" s="151"/>
      <c r="K149" s="152"/>
      <c r="L149" s="32"/>
    </row>
    <row r="150" spans="2:12" ht="72.599999999999994">
      <c r="B150" s="241" t="s">
        <v>287</v>
      </c>
      <c r="C150" s="79"/>
      <c r="D150" s="122" t="s">
        <v>288</v>
      </c>
      <c r="E150" s="214"/>
      <c r="F150" s="214"/>
      <c r="G150" s="214"/>
      <c r="H150" s="214"/>
      <c r="I150" s="216" t="s">
        <v>288</v>
      </c>
      <c r="J150" s="151"/>
      <c r="K150" s="152"/>
      <c r="L150" s="32"/>
    </row>
    <row r="151" spans="2:12" ht="15.95">
      <c r="B151" s="232" t="s">
        <v>76</v>
      </c>
      <c r="C151" s="217"/>
      <c r="D151" s="217"/>
      <c r="E151" s="217"/>
      <c r="F151" s="217"/>
      <c r="G151" s="217"/>
      <c r="H151" s="217"/>
      <c r="I151" s="217"/>
      <c r="J151" s="151"/>
      <c r="K151" s="152"/>
      <c r="L151" s="32"/>
    </row>
    <row r="152" spans="2:12" ht="29.45" thickBot="1">
      <c r="B152" s="244" t="s">
        <v>289</v>
      </c>
      <c r="C152" s="245"/>
      <c r="D152" s="246" t="s">
        <v>282</v>
      </c>
      <c r="E152" s="247"/>
      <c r="F152" s="247"/>
      <c r="G152" s="247"/>
      <c r="H152" s="247"/>
      <c r="I152" s="248" t="s">
        <v>282</v>
      </c>
      <c r="J152" s="249"/>
      <c r="K152" s="250"/>
      <c r="L152" s="251"/>
    </row>
  </sheetData>
  <mergeCells count="51">
    <mergeCell ref="B124:I124"/>
    <mergeCell ref="I95:I99"/>
    <mergeCell ref="B112:H112"/>
    <mergeCell ref="H78:H79"/>
    <mergeCell ref="I78:I79"/>
    <mergeCell ref="B78:B79"/>
    <mergeCell ref="I136:I138"/>
    <mergeCell ref="B140:L140"/>
    <mergeCell ref="C142:C143"/>
    <mergeCell ref="H142:H143"/>
    <mergeCell ref="B14:I14"/>
    <mergeCell ref="B34:I34"/>
    <mergeCell ref="B41:I41"/>
    <mergeCell ref="C136:C138"/>
    <mergeCell ref="D136:D138"/>
    <mergeCell ref="E136:E138"/>
    <mergeCell ref="F136:F138"/>
    <mergeCell ref="G136:G138"/>
    <mergeCell ref="J131:J132"/>
    <mergeCell ref="K131:K132"/>
    <mergeCell ref="L131:L132"/>
    <mergeCell ref="B136:B138"/>
    <mergeCell ref="H131:H132"/>
    <mergeCell ref="I131:I132"/>
    <mergeCell ref="I126:I128"/>
    <mergeCell ref="J126:J128"/>
    <mergeCell ref="B131:B132"/>
    <mergeCell ref="B126:B128"/>
    <mergeCell ref="B129:I129"/>
    <mergeCell ref="B1:I1"/>
    <mergeCell ref="B100:I100"/>
    <mergeCell ref="J41:L41"/>
    <mergeCell ref="K4:K13"/>
    <mergeCell ref="L4:L13"/>
    <mergeCell ref="C4:C13"/>
    <mergeCell ref="E4:E13"/>
    <mergeCell ref="F4:F13"/>
    <mergeCell ref="H4:H13"/>
    <mergeCell ref="I4:I13"/>
    <mergeCell ref="J4:J13"/>
    <mergeCell ref="B94:I94"/>
    <mergeCell ref="B75:I75"/>
    <mergeCell ref="B70:H70"/>
    <mergeCell ref="B85:H85"/>
    <mergeCell ref="B88:H88"/>
    <mergeCell ref="B3:I3"/>
    <mergeCell ref="B47:I47"/>
    <mergeCell ref="B55:I55"/>
    <mergeCell ref="B63:I63"/>
    <mergeCell ref="B80:I80"/>
    <mergeCell ref="B4:B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r:id="rId1"/>
  <headerFooter>
    <oddFooter>&amp;C&amp;P</oddFooter>
  </headerFooter>
  <rowBreaks count="1" manualBreakCount="1"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4094DFC25114BA98D8ABEB263519A" ma:contentTypeVersion="19" ma:contentTypeDescription="Create a new document." ma:contentTypeScope="" ma:versionID="b28c8dafe6dcda6758d84c0f96e8fe64">
  <xsd:schema xmlns:xsd="http://www.w3.org/2001/XMLSchema" xmlns:xs="http://www.w3.org/2001/XMLSchema" xmlns:p="http://schemas.microsoft.com/office/2006/metadata/properties" xmlns:ns2="8315e492-ce1f-45aa-ab83-d0a1d077d827" xmlns:ns3="5bbe472c-b467-463e-b963-66c0881b33a2" targetNamespace="http://schemas.microsoft.com/office/2006/metadata/properties" ma:root="true" ma:fieldsID="6452ae589ffaa9608a01f54ed2fd64db" ns2:_="" ns3:_="">
    <xsd:import namespace="8315e492-ce1f-45aa-ab83-d0a1d077d827"/>
    <xsd:import namespace="5bbe472c-b467-463e-b963-66c0881b33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5e492-ce1f-45aa-ab83-d0a1d077d8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e472c-b467-463e-b963-66c0881b33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6951aa3-56c9-4a6e-9deb-b32717a9ce09}" ma:internalName="TaxCatchAll" ma:showField="CatchAllData" ma:web="5bbe472c-b467-463e-b963-66c0881b33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be472c-b467-463e-b963-66c0881b33a2" xsi:nil="true"/>
    <lcf76f155ced4ddcb4097134ff3c332f xmlns="8315e492-ce1f-45aa-ab83-d0a1d077d8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078FD6-E5BD-4D3E-9DDA-1F6B4BEC59E0}"/>
</file>

<file path=customXml/itemProps2.xml><?xml version="1.0" encoding="utf-8"?>
<ds:datastoreItem xmlns:ds="http://schemas.openxmlformats.org/officeDocument/2006/customXml" ds:itemID="{CDD10F9E-C36E-4ECB-9E2A-49094131BAB3}"/>
</file>

<file path=customXml/itemProps3.xml><?xml version="1.0" encoding="utf-8"?>
<ds:datastoreItem xmlns:ds="http://schemas.openxmlformats.org/officeDocument/2006/customXml" ds:itemID="{D5766C55-9A93-4333-99A3-78B8AEE18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Irene Rojas</dc:creator>
  <cp:keywords/>
  <dc:description/>
  <cp:lastModifiedBy/>
  <cp:revision/>
  <dcterms:created xsi:type="dcterms:W3CDTF">2025-04-28T20:30:48Z</dcterms:created>
  <dcterms:modified xsi:type="dcterms:W3CDTF">2025-05-27T17:27:35Z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0x0101000BF4094DFC25114BA98D8ABEB263519A</vt:lpwstr>
  </property>
  <property fmtid="{D5CDD505-2E9C-101B-9397-08002B2CF9AE}" pid="3" name="MediaServiceImageTags">
    <vt:lpwstr/>
  </property>
</Properties>
</file>